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5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6.xml" ContentType="application/vnd.openxmlformats-officedocument.drawing+xml"/>
  <Override PartName="/xl/worksheets/sheet22.xml" ContentType="application/vnd.openxmlformats-officedocument.spreadsheetml.worksheet+xml"/>
  <Override PartName="/xl/drawings/drawing7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8.xml" ContentType="application/vnd.openxmlformats-officedocument.drawing+xml"/>
  <Override PartName="/xl/worksheets/sheet25.xml" ContentType="application/vnd.openxmlformats-officedocument.spreadsheetml.worksheet+xml"/>
  <Override PartName="/xl/drawings/drawing9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0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11.xml" ContentType="application/vnd.openxmlformats-officedocument.drawing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20" tabRatio="896" firstSheet="1" activeTab="1"/>
  </bookViews>
  <sheets>
    <sheet name="Periodos" sheetId="1" state="hidden" r:id="rId1"/>
    <sheet name="PRINCIPAL" sheetId="2" r:id="rId2"/>
    <sheet name="ENTE" sheetId="3" r:id="rId3"/>
    <sheet name="SCRI" sheetId="4" r:id="rId4"/>
    <sheet name="EAI" sheetId="5" r:id="rId5"/>
    <sheet name="EAID" sheetId="6" r:id="rId6"/>
    <sheet name="SCA" sheetId="7" r:id="rId7"/>
    <sheet name="CAdmon" sheetId="8" r:id="rId8"/>
    <sheet name="CA" sheetId="9" r:id="rId9"/>
    <sheet name="SCTG" sheetId="10" r:id="rId10"/>
    <sheet name="CTG" sheetId="11" r:id="rId11"/>
    <sheet name="SCOG" sheetId="12" r:id="rId12"/>
    <sheet name="COG" sheetId="13" r:id="rId13"/>
    <sheet name="COGCC" sheetId="14" r:id="rId14"/>
    <sheet name="SCFG" sheetId="15" r:id="rId15"/>
    <sheet name="CFG" sheetId="16" r:id="rId16"/>
    <sheet name="CFFF" sheetId="17" r:id="rId17"/>
    <sheet name="SCP" sheetId="18" r:id="rId18"/>
    <sheet name="CProg" sheetId="19" r:id="rId19"/>
    <sheet name="SFF" sheetId="20" r:id="rId20"/>
    <sheet name="EA (2)" sheetId="21" state="hidden" r:id="rId21"/>
    <sheet name="ESF (2)" sheetId="22" state="hidden" r:id="rId22"/>
    <sheet name="CFF" sheetId="23" r:id="rId23"/>
    <sheet name="Post Fiscal" sheetId="24" r:id="rId24"/>
    <sheet name="BP" sheetId="25" r:id="rId25"/>
    <sheet name="CSPC" sheetId="26" r:id="rId26"/>
    <sheet name="Int" sheetId="27" r:id="rId27"/>
    <sheet name="End Neto" sheetId="28" r:id="rId28"/>
    <sheet name="Guía de Cumplimiento LDF" sheetId="29" r:id="rId29"/>
    <sheet name="Comprobación" sheetId="30" r:id="rId30"/>
  </sheets>
  <externalReferences>
    <externalReference r:id="rId33"/>
  </externalReferences>
  <definedNames>
    <definedName name="_xlnm.Print_Area" localSheetId="24">'BP'!$A$1:$G$81</definedName>
    <definedName name="_xlnm.Print_Area" localSheetId="8">'CA'!$A$1:$I$65</definedName>
    <definedName name="_xlnm.Print_Area" localSheetId="7">'CAdmon'!$A$1:$J$88</definedName>
    <definedName name="_xlnm.Print_Area" localSheetId="22">'CFF'!$A$1:$J$39</definedName>
    <definedName name="_xlnm.Print_Area" localSheetId="16">'CFFF'!$A$1:$J$90</definedName>
    <definedName name="_xlnm.Print_Area" localSheetId="15">'CFG'!$A$1:$J$56</definedName>
    <definedName name="_xlnm.Print_Area" localSheetId="12">'COG'!$A$1:$J$97</definedName>
    <definedName name="_xlnm.Print_Area" localSheetId="13">'COGCC'!$A$1:$J$87,'COGCC'!$A$90:$J$188</definedName>
    <definedName name="_xlnm.Print_Area" localSheetId="18">'CProg'!$A$1:$K$57</definedName>
    <definedName name="_xlnm.Print_Area" localSheetId="25">'CSPC'!$A$1:$J$50</definedName>
    <definedName name="_xlnm.Print_Area" localSheetId="20">'EA (2)'!$A$1:$K$64</definedName>
    <definedName name="_xlnm.Print_Area" localSheetId="4">'EAI'!$A$1:$K$66</definedName>
    <definedName name="_xlnm.Print_Area" localSheetId="5">'EAID'!$A$1:$J$92</definedName>
    <definedName name="_xlnm.Print_Area" localSheetId="27">'End Neto'!$A$1:$J$44</definedName>
    <definedName name="_xlnm.Print_Area" localSheetId="21">'ESF (2)'!$A$1:$L$75</definedName>
    <definedName name="_xlnm.Print_Area" localSheetId="28">'Guía de Cumplimiento LDF'!$A$1:$K$86</definedName>
    <definedName name="_xlnm.Print_Area" localSheetId="26">'Int'!$A$1:$F$46</definedName>
    <definedName name="_xlnm.Print_Area" localSheetId="23">'Post Fiscal'!$A$1:$G$51</definedName>
    <definedName name="_xlnm.Print_Area" localSheetId="6">'SCA'!$A$1:$K$82</definedName>
    <definedName name="_xlnm.Print_Area" localSheetId="14">'SCFG'!$A$1:$K$73</definedName>
    <definedName name="_xlnm.Print_Area" localSheetId="11">'SCOG'!$A$1:$K$141</definedName>
    <definedName name="_xlnm.Print_Area" localSheetId="17">'SCP'!$A$1:$K$35</definedName>
    <definedName name="_xlnm.Print_Area" localSheetId="3">'SCRI'!$A$1:$I$107</definedName>
    <definedName name="_xlnm.Print_Area" localSheetId="9">'SCTG'!$A$1:$K$18</definedName>
    <definedName name="_xlnm.Print_Area" localSheetId="19">'SFF'!$A$1:$K$20</definedName>
    <definedName name="COMPROBACIÓN_TOTALES">'Comprobación'!$E$2</definedName>
    <definedName name="Periodos" localSheetId="27">'[1]Periodos'!$A$2:$A$5</definedName>
    <definedName name="Periodos">'Periodos'!$A$2:$A$13</definedName>
    <definedName name="RENDICIÓN">'PRINCIPAL'!$C$2</definedName>
    <definedName name="RENDICIÓN_DE_LA_CUENTA_PÚBLICA" localSheetId="12">#REF!</definedName>
    <definedName name="RENDICIÓN_DE_LA_CUENTA_PÚBLICA">#REF!</definedName>
    <definedName name="_xlnm.Print_Titles" localSheetId="28">'Guía de Cumplimiento LDF'!$1:$10</definedName>
  </definedNames>
  <calcPr fullCalcOnLoad="1"/>
</workbook>
</file>

<file path=xl/sharedStrings.xml><?xml version="1.0" encoding="utf-8"?>
<sst xmlns="http://schemas.openxmlformats.org/spreadsheetml/2006/main" count="1797" uniqueCount="930">
  <si>
    <t>RENDICIÓN DE LA CUENTA PÚBLICA</t>
  </si>
  <si>
    <t>ESTADO DE QUERÉTARO</t>
  </si>
  <si>
    <t>Ejercicio 2016</t>
  </si>
  <si>
    <t>DATOS GENERALES DEL ENTE</t>
  </si>
  <si>
    <t>Ente:</t>
  </si>
  <si>
    <t>01</t>
  </si>
  <si>
    <t>02</t>
  </si>
  <si>
    <t>Gasto Corriente</t>
  </si>
  <si>
    <t>Gasto de Capital</t>
  </si>
  <si>
    <t>Amortización de la deuda y dismunición de pasivos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</si>
  <si>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</si>
  <si>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</si>
  <si>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</si>
  <si>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</si>
  <si>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</si>
  <si>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</si>
  <si>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</si>
  <si>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</si>
  <si>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</si>
  <si>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</si>
  <si>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</si>
  <si>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</si>
  <si>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</si>
  <si>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</si>
  <si>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</si>
  <si>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</si>
  <si>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</si>
  <si>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</si>
  <si>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</si>
  <si>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</si>
  <si>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</si>
  <si>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</si>
  <si>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</si>
  <si>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</si>
  <si>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</si>
  <si>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</si>
  <si>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</si>
  <si>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 Fiscales Anteriores</t>
  </si>
  <si>
    <t>S</t>
  </si>
  <si>
    <t>Sujetos a Reglas de Operación</t>
  </si>
  <si>
    <t>U</t>
  </si>
  <si>
    <t>Otros Subsidios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</si>
  <si>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</si>
  <si>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</si>
  <si>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</si>
  <si>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</si>
  <si>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</si>
  <si>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</si>
  <si>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</si>
  <si>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</si>
  <si>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</si>
  <si>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</si>
  <si>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</si>
  <si>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</si>
  <si>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</si>
  <si>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</si>
  <si>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</si>
  <si>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</si>
  <si>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</si>
  <si>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</si>
  <si>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</si>
  <si>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</si>
  <si>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</si>
  <si>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</si>
  <si>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L</t>
  </si>
  <si>
    <t>Obligaciones de cumplimiento de resolución jurisdiccional</t>
  </si>
  <si>
    <t>N</t>
  </si>
  <si>
    <t>Desastres Naturales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</si>
  <si>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</si>
  <si>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</si>
  <si>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</si>
  <si>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</si>
  <si>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</si>
  <si>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</si>
  <si>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</si>
  <si>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</si>
  <si>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</si>
  <si>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</si>
  <si>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</si>
  <si>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</si>
  <si>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</si>
  <si>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</si>
  <si>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</si>
  <si>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</si>
  <si>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</si>
  <si>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</si>
  <si>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</si>
  <si>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</si>
  <si>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</si>
  <si>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</si>
  <si>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</si>
  <si>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</si>
  <si>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</si>
  <si>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</si>
  <si>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</si>
  <si>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</si>
  <si>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</si>
  <si>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</si>
  <si>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</si>
  <si>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</si>
  <si>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</si>
  <si>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</si>
  <si>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</si>
  <si>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</si>
  <si>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</si>
  <si>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</si>
  <si>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</si>
  <si>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</si>
  <si>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</si>
  <si>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</si>
  <si>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</si>
  <si>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</si>
  <si>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</si>
  <si>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</si>
  <si>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</si>
  <si>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</si>
  <si>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</si>
  <si>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</si>
  <si>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</si>
  <si>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</si>
  <si>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</si>
  <si>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</si>
  <si>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</si>
  <si>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</si>
  <si>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</si>
  <si>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</si>
  <si>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</si>
  <si>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</si>
  <si>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</si>
  <si>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</si>
  <si>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</si>
  <si>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</si>
  <si>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</si>
  <si>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</si>
  <si>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</si>
  <si>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</si>
  <si>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</si>
  <si>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</si>
  <si>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</si>
  <si>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</si>
  <si>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</si>
  <si>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</si>
  <si>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</si>
  <si>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</si>
  <si>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</si>
  <si>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</si>
  <si>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</si>
  <si>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</si>
  <si>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</si>
  <si>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</si>
  <si>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Del 1 de enero al 31 de diciembre de 2015 y 2016</t>
  </si>
  <si>
    <t>Estado de Situación Financiera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</si>
  <si>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</si>
  <si>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</si>
  <si>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</si>
  <si>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</si>
  <si>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</si>
  <si>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</si>
  <si>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</si>
  <si>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</si>
  <si>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</si>
  <si>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</si>
  <si>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</si>
  <si>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</si>
  <si>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</si>
  <si>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</si>
  <si>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</si>
  <si>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</si>
  <si>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</si>
  <si>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</si>
  <si>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</si>
  <si>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</si>
  <si>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</si>
  <si>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</si>
  <si>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</si>
  <si>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</si>
  <si>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</si>
  <si>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</si>
  <si>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</si>
  <si>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</si>
  <si>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</si>
  <si>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</si>
  <si>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</si>
  <si>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</si>
  <si>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</si>
  <si>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</si>
  <si>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</si>
  <si>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</si>
  <si>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</si>
  <si>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</si>
  <si>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</si>
  <si>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</si>
  <si>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</si>
  <si>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</si>
  <si>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</si>
  <si>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</si>
  <si>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</si>
  <si>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</si>
  <si>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</si>
  <si>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</si>
  <si>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</si>
  <si>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</si>
  <si>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</si>
  <si>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</si>
  <si>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</si>
  <si>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</si>
  <si>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</si>
  <si>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</si>
  <si>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</si>
  <si>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</si>
  <si>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</si>
  <si>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Al 31 de diciembre de 2015 y 2016</t>
  </si>
  <si>
    <t>Cuotas y Aportaciones de Seguridad Social</t>
  </si>
  <si>
    <t>Servicios Personales</t>
  </si>
  <si>
    <t>Estado Analítico del Ejercicio del Presupuesto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</si>
  <si>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</si>
  <si>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</si>
  <si>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</si>
  <si>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</si>
  <si>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</si>
  <si>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</si>
  <si>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</si>
  <si>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</si>
  <si>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</si>
  <si>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</si>
  <si>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</si>
  <si>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</si>
  <si>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</si>
  <si>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</si>
  <si>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</si>
  <si>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</si>
  <si>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</si>
  <si>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</si>
  <si>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</si>
  <si>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</si>
  <si>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</si>
  <si>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</si>
  <si>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</si>
  <si>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</si>
  <si>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</si>
  <si>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</si>
  <si>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</si>
  <si>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Estado Analítico del Ejercicio del Presupuesto de Egresos por Clasificación Administrativa</t>
  </si>
  <si>
    <t>Aprobado</t>
  </si>
  <si>
    <t>Ampliaciones/ (Reducciones)</t>
  </si>
  <si>
    <t>Pagado</t>
  </si>
  <si>
    <t>3 = (1 + 2 )</t>
  </si>
  <si>
    <t>6 = ( 3 - 4 )</t>
  </si>
  <si>
    <t>Total del Gasto</t>
  </si>
  <si>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</si>
  <si>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Estado Analítico del Ejercicio del Presupuesto de Egresos por Clasificación Económica (por Tipo de Gasto)</t>
  </si>
  <si>
    <t>Amortización de la Deuda y Disminución de Pasivos</t>
  </si>
  <si>
    <t>Estado Analítico del Ejercicio del Presupuesto de Egresos por Clasificación por Objeto del Gasto (Capítulo y Concepto)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</si>
  <si>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</si>
  <si>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</si>
  <si>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</si>
  <si>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</si>
  <si>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</si>
  <si>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</si>
  <si>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</si>
  <si>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</si>
  <si>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</si>
  <si>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</si>
  <si>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</si>
  <si>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</si>
  <si>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</si>
  <si>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</si>
  <si>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</si>
  <si>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</si>
  <si>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</si>
  <si>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</si>
  <si>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</si>
  <si>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</si>
  <si>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</si>
  <si>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</si>
  <si>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</si>
  <si>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</si>
  <si>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</si>
  <si>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</si>
  <si>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</si>
  <si>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</si>
  <si>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</si>
  <si>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</si>
  <si>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</si>
  <si>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</si>
  <si>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</si>
  <si>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</si>
  <si>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</si>
  <si>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</si>
  <si>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</si>
  <si>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</si>
  <si>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</si>
  <si>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</si>
  <si>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</si>
  <si>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</si>
  <si>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</si>
  <si>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</si>
  <si>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</si>
  <si>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</si>
  <si>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</si>
  <si>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</si>
  <si>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Estado Analítico del Ejercicio del Presupuesto de Egresos por Clasificación Funcional (Finalidad y Función)</t>
  </si>
  <si>
    <t>Gobierno</t>
  </si>
  <si>
    <t>Desarrollo Social</t>
  </si>
  <si>
    <t>Desarrollo Económico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</si>
  <si>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</si>
  <si>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</si>
  <si>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</si>
  <si>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Adeudos de Ejercicios Fiscales Anteriores</t>
  </si>
  <si>
    <t>Estado Analítico del Ejercicio del Presupuesto de Egresos por Fuente de Financiamiento</t>
  </si>
  <si>
    <t>Gasto por Categoría Programática</t>
  </si>
  <si>
    <t>Programas</t>
  </si>
  <si>
    <t>Subsidios: Sector Social y Privado o Entidades Federativas y Municipios</t>
  </si>
  <si>
    <t>Desempeño de las Funciones</t>
  </si>
  <si>
    <t>Administrativos y de Apoyo</t>
  </si>
  <si>
    <t>Compromisos</t>
  </si>
  <si>
    <t>Obligaciones</t>
  </si>
  <si>
    <t>Programas de Gasto Federalizado (Gobierno Federal)</t>
  </si>
  <si>
    <t>Indicadores de Postura Fiscal</t>
  </si>
  <si>
    <r>
      <t xml:space="preserve">Pagado </t>
    </r>
    <r>
      <rPr>
        <b/>
        <vertAlign val="superscript"/>
        <sz val="9"/>
        <color indexed="8"/>
        <rFont val="Calibri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</si>
  <si>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</si>
  <si>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indexed="8"/>
        <rFont val="Calibri"/>
        <family val="2"/>
      </rPr>
      <t>1</t>
    </r>
  </si>
  <si>
    <r>
      <t xml:space="preserve">2. Ingresos del Sector Paraestatal </t>
    </r>
    <r>
      <rPr>
        <b/>
        <vertAlign val="superscript"/>
        <sz val="9"/>
        <color indexed="8"/>
        <rFont val="Calibri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</si>
  <si>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</si>
  <si>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indexed="8"/>
        <rFont val="Calibri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</si>
  <si>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Calibri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</si>
  <si>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</si>
  <si>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</si>
  <si>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</si>
  <si>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 Superávit o Déficit) (V= III - IV)</t>
  </si>
  <si>
    <t>A. Financiamiento</t>
  </si>
  <si>
    <t>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</si>
  <si>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</si>
  <si>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</si>
  <si>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</si>
  <si>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</si>
  <si>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SALDOS FINALES CLASIFICADOR POR RUBRO DE INGRESOS</t>
  </si>
  <si>
    <t>SALDOS FINALES CLASIFICACIÓN ADMINISTRATIVA</t>
  </si>
  <si>
    <t>SALDOS FINALES CLASIFICADOR POR TIPO DE GASTO</t>
  </si>
  <si>
    <t>SALDOS FINALES CLASIFICADOR POR OBJETO DE GASTO</t>
  </si>
  <si>
    <t>SALDOS FINALES CLASIFICADOR FUNCIONAL DEL GASTO</t>
  </si>
  <si>
    <t>SALDOS FINALES CLASIFICACIÓN PROGRAMÁTICA</t>
  </si>
  <si>
    <t>SALDOS FINALES FUENTE DE FINANCIAMIENTO</t>
  </si>
  <si>
    <t>ESTADO ANALÍTICO DEL INGRESO</t>
  </si>
  <si>
    <t>ESTADO ANALÍTICO DEL EGRESO POR CLASIFICACION ADMINISTRATIVA</t>
  </si>
  <si>
    <t>ESTADO ANALÍTICO DEL EGRESO POR TIPO DE GASTO</t>
  </si>
  <si>
    <t>ESTADO ANALÍTICO DEL EGRESO POR OBJETO DEL GASTO</t>
  </si>
  <si>
    <t>ESTADO ANALÍTICO DEL EGRESO POR FUNCIONAL DEL GASTO</t>
  </si>
  <si>
    <t>ESTADO ANALÍTICO DEL EGRESO POR FUENTE DE FINANCIAMIENTO</t>
  </si>
  <si>
    <t>GASTO POR CATEGORÍA PROGRAMÁTICA</t>
  </si>
  <si>
    <t>DATOS DE LA ENTIDAD</t>
  </si>
  <si>
    <t>BALANCE PRESUPUESTARIO</t>
  </si>
  <si>
    <t>ESTADO ANALÍTICO DE INGRESOS DETALLADO</t>
  </si>
  <si>
    <t>LEY GENERAL DE CONTABILIDAD GUBERNAMENTAL</t>
  </si>
  <si>
    <t>LEY DE DISCIPLINA FINANCIERA DE LAS ENTIDADES FEDERATIVAS Y LOS MUNICIPIOS</t>
  </si>
  <si>
    <t>ENTE PÚBLICO:</t>
  </si>
  <si>
    <t>NOMBRE DE QUIEN AUTORIZA:</t>
  </si>
  <si>
    <t>CARGO DE QUIEN AUTORIZA:</t>
  </si>
  <si>
    <t>NOMBRE DE QUIEN ELABORA:</t>
  </si>
  <si>
    <t>CARGO DE QUIEN ELABORA:</t>
  </si>
  <si>
    <t>Valor</t>
  </si>
  <si>
    <t>Descripción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</si>
  <si>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</si>
  <si>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</si>
  <si>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</si>
  <si>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</si>
  <si>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</si>
  <si>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Clasificador por rubro de Ingresos a Nivel Tipo</t>
  </si>
  <si>
    <t>Saldos Finales Cuentas de Orden Presupuestarias</t>
  </si>
  <si>
    <t>Clasificador Administrativo de Egresos a Nivel Dependencia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</si>
  <si>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</si>
  <si>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</si>
  <si>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</si>
  <si>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</si>
  <si>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</si>
  <si>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</si>
  <si>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</si>
  <si>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Clasificador por Tipo de Gasto</t>
  </si>
  <si>
    <t>Clasificación por Fuente de Financiamiento</t>
  </si>
  <si>
    <t>Clasificación Programatica del Gasto</t>
  </si>
  <si>
    <t>Clasificador por Objeto de Gasto a Nivel Concepto</t>
  </si>
  <si>
    <t>Clasificación Funcional del Gasto a Nivel Función</t>
  </si>
  <si>
    <t>Productos Químicos, Farmaceúticos y de Laboratorio</t>
  </si>
  <si>
    <t>Materiales y Suministros para Seguridad</t>
  </si>
  <si>
    <t>Servicios Profesionales, Científicos, Técnicos y otros Servicios</t>
  </si>
  <si>
    <t>Servicios de Comunicación Social y Publicidad</t>
  </si>
  <si>
    <t>Transferencias a Fideicomisos, Mandatos y otros Análogos</t>
  </si>
  <si>
    <t>Maquinaria, otros Equipos y Herramientas</t>
  </si>
  <si>
    <t>Inversiones para el Fomento de Actividades Productivas</t>
  </si>
  <si>
    <t>Inversiones en Fideicomisos, Mandatos y otros Análogos</t>
  </si>
  <si>
    <t>Provisiones para Contingencias y otras Erogaciones Especiales</t>
  </si>
  <si>
    <t>Adeudos de Ejercicios Fiscales Anteriores (ADEFAS)</t>
  </si>
  <si>
    <t xml:space="preserve">Concepto (c) </t>
  </si>
  <si>
    <t>Estimado/ Aprobado (d)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</si>
  <si>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</si>
  <si>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</si>
  <si>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</si>
  <si>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</si>
  <si>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</si>
  <si>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</si>
  <si>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</si>
  <si>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</si>
  <si>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</si>
  <si>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</si>
  <si>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</si>
  <si>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</si>
  <si>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</si>
  <si>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</si>
  <si>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</si>
  <si>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</si>
  <si>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</si>
  <si>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</si>
  <si>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</si>
  <si>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</si>
  <si>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</si>
  <si>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</si>
  <si>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</si>
  <si>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</si>
  <si>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</si>
  <si>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</si>
  <si>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</si>
  <si>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</si>
  <si>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</si>
  <si>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</si>
  <si>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</si>
  <si>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</si>
  <si>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</si>
  <si>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</si>
  <si>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</si>
  <si>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</si>
  <si>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</si>
  <si>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</si>
  <si>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Ingresos</t>
  </si>
  <si>
    <t>Estimado (d)</t>
  </si>
  <si>
    <t>Ingresos de Libre Disposición</t>
  </si>
  <si>
    <t xml:space="preserve">     A. Impuestos</t>
  </si>
  <si>
    <t xml:space="preserve">     B. Cuotas y Aportaciones de Seguridad Social</t>
  </si>
  <si>
    <t xml:space="preserve">     C. Contribuciones de Mejoras</t>
  </si>
  <si>
    <t xml:space="preserve">     D. Derechos</t>
  </si>
  <si>
    <t xml:space="preserve">     E. Productos</t>
  </si>
  <si>
    <t xml:space="preserve">     F. Aprovechamientos</t>
  </si>
  <si>
    <t xml:space="preserve">     G. Ingresos por Ventas de Bienes y Servicios</t>
  </si>
  <si>
    <t xml:space="preserve">            h1) Fondo General de Participaciones </t>
  </si>
  <si>
    <t xml:space="preserve">            h2) Fondo de Fomento Municipal</t>
  </si>
  <si>
    <t xml:space="preserve">            h3) Fondo de Fiscalización y Recaudación</t>
  </si>
  <si>
    <t xml:space="preserve">            h4) Fondo de Compensación</t>
  </si>
  <si>
    <t xml:space="preserve">            h5) Fondo de Extracción de Hidrocarburos</t>
  </si>
  <si>
    <t xml:space="preserve">            h6) Impuesto Especial Sobre Producción y Servicios</t>
  </si>
  <si>
    <t xml:space="preserve">            h7) 0.136% de la Recaudación Federal Participable</t>
  </si>
  <si>
    <t xml:space="preserve">            h8) 3.17% Sobre Extracción de Petróleo</t>
  </si>
  <si>
    <t xml:space="preserve">            h9) Gasolinas y Diésel</t>
  </si>
  <si>
    <t xml:space="preserve">            h10) Fondo del Impuesto Sobre la Renta</t>
  </si>
  <si>
    <t xml:space="preserve">             h11) Fondo de Estabilización de los Ingresos    de las Entidades Federativas</t>
  </si>
  <si>
    <t xml:space="preserve">     I. Incentivos Derivados de la Colaboración Fiscal (I=i1+i2+i3+i4+i5)</t>
  </si>
  <si>
    <t xml:space="preserve">             i1) Tenencia o Uso de Vehículos</t>
  </si>
  <si>
    <t xml:space="preserve">             i2) Fondo de Compensación ISAN</t>
  </si>
  <si>
    <t xml:space="preserve">             i3) Impuesto Sobre Automóviles Nuevos</t>
  </si>
  <si>
    <t xml:space="preserve">             i4) Fondo de Compensación de Repecos-Intermedios</t>
  </si>
  <si>
    <t xml:space="preserve">             i5) Otros Incentivos Económicos</t>
  </si>
  <si>
    <t xml:space="preserve">     J. Transferencias</t>
  </si>
  <si>
    <t xml:space="preserve">     K. Convenios</t>
  </si>
  <si>
    <t xml:space="preserve">             k1) Otros Convenios y Subsidios</t>
  </si>
  <si>
    <t xml:space="preserve">              I1) Participaciones en Ingresos Locales </t>
  </si>
  <si>
    <t xml:space="preserve">              l2) Otros Ingresos de Libre Disposición</t>
  </si>
  <si>
    <t>Ingresos Excedentes de Ingresos de Libre Disposición</t>
  </si>
  <si>
    <t xml:space="preserve">Transferencias Federales Etiquetadas </t>
  </si>
  <si>
    <t xml:space="preserve">     A. Aportaciones (A=a1+a2+a3+a4+a5+a6+a7+a8)</t>
  </si>
  <si>
    <t xml:space="preserve">            a1) Fondo de Aportaciones para la Nómina Educativa y Gasto Operativo</t>
  </si>
  <si>
    <t xml:space="preserve">           a2) Fondo de Aportaciones para los Servicios de Salud</t>
  </si>
  <si>
    <t xml:space="preserve">           a3) Fondo de Aportaciones para la Infraestructura Social</t>
  </si>
  <si>
    <t xml:space="preserve">           a4) Fondo de Aportaciones para el Fortalecimiento de los Municipios y de las Demarcaciones Territoriales del Distrito Federal</t>
  </si>
  <si>
    <t xml:space="preserve">          a5) Fondo de Aportaciones Múltiples</t>
  </si>
  <si>
    <t xml:space="preserve">          a6) Fondo de Aportaciones para la Educación Tecnológica y de Adultos</t>
  </si>
  <si>
    <t xml:space="preserve">          a7) Fondo de Aportaciones para la Seguridad Pública de los Estados y del Distrito Federal</t>
  </si>
  <si>
    <t xml:space="preserve">          a8) Fondo de Aportaciones para el Fortalecimiento de las Entidades Federativas</t>
  </si>
  <si>
    <t xml:space="preserve">     B. Convenios (B=b1+b2+b3+b4)</t>
  </si>
  <si>
    <t xml:space="preserve">           b1) Convenios de Protección Social en Salud</t>
  </si>
  <si>
    <t xml:space="preserve">           b2) Convenios de Descentralización</t>
  </si>
  <si>
    <t xml:space="preserve">           b3) Convenios de Reasignación</t>
  </si>
  <si>
    <t xml:space="preserve">           b4) Otros Convenios y Subsidios</t>
  </si>
  <si>
    <t xml:space="preserve">    C. Fondos Distintos de Aportaciones (C=c1+c2)</t>
  </si>
  <si>
    <t xml:space="preserve">          c1) Fondo para Entidades Federativas y Municipios Productores de Hidrocarburos</t>
  </si>
  <si>
    <t xml:space="preserve">           c2) Fondo Minero</t>
  </si>
  <si>
    <t xml:space="preserve">     D. Transferencias, Subsidios y Subvenciones, y Pensiones y Jubilaciones</t>
  </si>
  <si>
    <t xml:space="preserve">     E. Otras Transferencias Federales Etiquetadas</t>
  </si>
  <si>
    <t>II. Total de Transferencias Federales Etiquetadas (II = A + B + C + D + E)</t>
  </si>
  <si>
    <t>III. Ingresos Derivados de Financiamientos (III = A)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</si>
  <si>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</si>
  <si>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</si>
  <si>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</si>
  <si>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</si>
  <si>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</si>
  <si>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CLASIFICACIÓN POR OBJETO DEL GASTO (CAPÍTULO Y CONCEPTO)</t>
  </si>
  <si>
    <t>Egresos</t>
  </si>
  <si>
    <t>Aprobado (d)</t>
  </si>
  <si>
    <t>I. Gasto No Etiquetado (I=A+B+C+D+E+F+G+H+I)</t>
  </si>
  <si>
    <t>A. Servicios Personales (A=a1+a2+a3+a4+a5+a6+a7)</t>
  </si>
  <si>
    <t xml:space="preserve">     a1) Remuneraciones al Personal de Carácter Permanente</t>
  </si>
  <si>
    <t xml:space="preserve">     a2) Remuneraciones al Personal de Carácter Transitorio</t>
  </si>
  <si>
    <t xml:space="preserve">     a3) Remuneraciones Adicionales y Especiales</t>
  </si>
  <si>
    <t xml:space="preserve">     a4) Seguridad Social</t>
  </si>
  <si>
    <t xml:space="preserve">     a5) Otras Prestaciones Sociales y Económicas</t>
  </si>
  <si>
    <t xml:space="preserve">     a6) Previsiones</t>
  </si>
  <si>
    <t xml:space="preserve">     a7) Pago de Estímulos a Servidores Públicos</t>
  </si>
  <si>
    <t>B. Materiales y Suministros (B=b1+b2+b3+b4+b5+b6+b7+b8+b9)</t>
  </si>
  <si>
    <t xml:space="preserve">     b1) Materiales de Administración, Emisión de Documentos y Artículos Oficiales</t>
  </si>
  <si>
    <t xml:space="preserve">     b2) Alimentos y Utensilios</t>
  </si>
  <si>
    <t xml:space="preserve">     b3) Materias Primas y Materiales de Producción y Comercialización</t>
  </si>
  <si>
    <t xml:space="preserve">     b4) Materiales y Artículos de Construcción y de Reparación</t>
  </si>
  <si>
    <t xml:space="preserve">     b5) Productos Químicos, Farmacéuticos y de Laboratorio</t>
  </si>
  <si>
    <t xml:space="preserve">     b6) Combustibles, Lubricantes y Aditivos</t>
  </si>
  <si>
    <t xml:space="preserve">     b7) Vestuario, Blancos, Prendas de Protección y Artículos Deportivos</t>
  </si>
  <si>
    <t xml:space="preserve">     b8) Materiales y Suministros Para Seguridad</t>
  </si>
  <si>
    <t xml:space="preserve">     b9) Herramientas, Refacciones y Accesorios Menores</t>
  </si>
  <si>
    <t>C. Servicios Generales (C=c1+c2+c3+c4+c5+c6+c7+c8+c9)</t>
  </si>
  <si>
    <t xml:space="preserve">     c1) Servicios Básicos</t>
  </si>
  <si>
    <t xml:space="preserve">     c2) Servicios de Arrendamiento</t>
  </si>
  <si>
    <t xml:space="preserve">     c3) Servicios Profesionales, Científicos, Técnicos y Otros Servicios</t>
  </si>
  <si>
    <t xml:space="preserve">     c4) Servicios Financieros, Bancarios y Comerciales</t>
  </si>
  <si>
    <t xml:space="preserve">     c5) Servicios de Instalación, Reparación, Mantenimiento y Conservación</t>
  </si>
  <si>
    <t xml:space="preserve">     c6) Servicios de Comunicación Social y Publicidad</t>
  </si>
  <si>
    <t xml:space="preserve">     c7) Servicios de Traslado y Viáticos</t>
  </si>
  <si>
    <t xml:space="preserve">     c8) Servicios Oficiales</t>
  </si>
  <si>
    <t xml:space="preserve">     c9) Otros Servicios Generales</t>
  </si>
  <si>
    <t xml:space="preserve">     d1) Transferencias Internas y Asignaciones al Sector Público</t>
  </si>
  <si>
    <t xml:space="preserve">     d2) Transferencias al Resto del Sector Público</t>
  </si>
  <si>
    <t xml:space="preserve">     d3) Subsidios y Subvenciones</t>
  </si>
  <si>
    <t xml:space="preserve">     d4) Ayudas Sociales</t>
  </si>
  <si>
    <t xml:space="preserve">     d5) Pensiones y Jubilaciones</t>
  </si>
  <si>
    <t xml:space="preserve">     d6) Transferencias a Fideicomisos, Mandatos y Otros Análogos</t>
  </si>
  <si>
    <t xml:space="preserve">     d7) Transferencias a la Seguridad Social</t>
  </si>
  <si>
    <t xml:space="preserve">     d8) Donativos</t>
  </si>
  <si>
    <t xml:space="preserve">     d9) Transferencias al Exterior</t>
  </si>
  <si>
    <t xml:space="preserve">     e1) Mobiliario y Equipo de Administración</t>
  </si>
  <si>
    <t xml:space="preserve">     e2) Mobiliario y Equipo Educacional y Recreativo</t>
  </si>
  <si>
    <t xml:space="preserve">     e3) Equipo e Instrumental Médico y de Laboratorio</t>
  </si>
  <si>
    <t xml:space="preserve">     e4) Vehículos y Equipo de Transporte</t>
  </si>
  <si>
    <t xml:space="preserve">     e5) Equipo de Defensa y Seguridad</t>
  </si>
  <si>
    <t xml:space="preserve">     a6) Maquinaria, Otros Equipos y Herramientas</t>
  </si>
  <si>
    <t xml:space="preserve">     e7) Activos Biológicos</t>
  </si>
  <si>
    <t xml:space="preserve">     e8) Bienes Inmuebles</t>
  </si>
  <si>
    <t xml:space="preserve">     e9) Activos Intangibles</t>
  </si>
  <si>
    <t>F. Inversión Pública (F=f1+f2+f3)</t>
  </si>
  <si>
    <t xml:space="preserve">     f1) Obra Pública en Bienes de Dominio Público</t>
  </si>
  <si>
    <t xml:space="preserve">     f2) Obra Pública en Bienes Propios</t>
  </si>
  <si>
    <t xml:space="preserve">     f3) Proyectos Productivos y Acciones de Fomento</t>
  </si>
  <si>
    <t xml:space="preserve">     g1) Inversiones Para el Fomento de Actividades Productivas</t>
  </si>
  <si>
    <t xml:space="preserve">     g2) Acciones y Participaciones de Capital</t>
  </si>
  <si>
    <t xml:space="preserve">     g3) Compra de Títulos y Valores</t>
  </si>
  <si>
    <t xml:space="preserve">     g4) Concesión de Préstamos</t>
  </si>
  <si>
    <t xml:space="preserve">     g6) Otras Inversiones Financieras</t>
  </si>
  <si>
    <t xml:space="preserve">     g7) Provisiones para Contingencias y Otras Erogaciones Especiales</t>
  </si>
  <si>
    <t>H. Participaciones y Aportaciones (H=h1+h2+h3)</t>
  </si>
  <si>
    <t xml:space="preserve">     h1) Participaciones</t>
  </si>
  <si>
    <t xml:space="preserve">     h2) Aportaciones</t>
  </si>
  <si>
    <t xml:space="preserve">     h3) Convenios</t>
  </si>
  <si>
    <t>I. Deuda Pública (I=i1+i2+i3+i4+i5+i6+i7)</t>
  </si>
  <si>
    <t xml:space="preserve">     i1) Amortización de la Deuda Pública</t>
  </si>
  <si>
    <t xml:space="preserve">     i2) Intereses de la Deuda Pública</t>
  </si>
  <si>
    <t xml:space="preserve">     i3) Comisiones de la Deuda Pública</t>
  </si>
  <si>
    <t xml:space="preserve">     i4) Gastos de la Deuda Pública</t>
  </si>
  <si>
    <t xml:space="preserve">     i5) Costo por Coberturas</t>
  </si>
  <si>
    <t xml:space="preserve">     i6) Apoyos Financieros</t>
  </si>
  <si>
    <t xml:space="preserve">     i7) Adeudos de Ejercicios Fiscales Anteriores (ADEFAS)</t>
  </si>
  <si>
    <t>II. Gasto Etiquetado (II=A+B+C+D+E+F+G+H+I)</t>
  </si>
  <si>
    <t xml:space="preserve">     b3) Materias Primas y Materiales de Producción y  Comercialización</t>
  </si>
  <si>
    <t xml:space="preserve">    d9) Transferencias al Exterior</t>
  </si>
  <si>
    <t xml:space="preserve">     e6) Maquinaria, Otros Equipos y Herramientas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</si>
  <si>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</si>
  <si>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</si>
  <si>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</si>
  <si>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</si>
  <si>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</si>
  <si>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CLASIFICACIÓN FUNCIONAL (FINALIDAD Y FUNCIÓN)</t>
  </si>
  <si>
    <t>I. Gasto No Etiquetado (I=A+B+C+D)</t>
  </si>
  <si>
    <t xml:space="preserve">     A. Gobierno (A=a1+a2+a3+a4+a5+a6+a7+a8)</t>
  </si>
  <si>
    <t xml:space="preserve">            a1) Legislación</t>
  </si>
  <si>
    <t xml:space="preserve">            a2) Justicia</t>
  </si>
  <si>
    <t xml:space="preserve">            a3) Coordinación de la Política de Gobierno</t>
  </si>
  <si>
    <t xml:space="preserve">            a4) Relaciones Exteriores</t>
  </si>
  <si>
    <t xml:space="preserve">            a5) Asuntos Financieros y Hacendarios</t>
  </si>
  <si>
    <t xml:space="preserve">            a6) Seguridad Nacional</t>
  </si>
  <si>
    <t xml:space="preserve">            a7) Asuntos de Orden Público y de Seguridad Interior</t>
  </si>
  <si>
    <t xml:space="preserve">     B. Desarrollo Social (B=b1+b2+b3+b4+b5+b6+b7)</t>
  </si>
  <si>
    <t xml:space="preserve">            b1) Protección Ambiental</t>
  </si>
  <si>
    <t xml:space="preserve">            b2) Vivienda y Servicios a la Comunidad</t>
  </si>
  <si>
    <t xml:space="preserve">            b4) Recreación, Cultura y Otras Manifestaciones Sociales</t>
  </si>
  <si>
    <t xml:space="preserve">            b5) Educación</t>
  </si>
  <si>
    <t xml:space="preserve">            b6) Protección Social</t>
  </si>
  <si>
    <t xml:space="preserve">            b7) Otros Asuntos Sociales</t>
  </si>
  <si>
    <t xml:space="preserve">          c1) Asuntos Económicos, Comerciales y Laborales en General</t>
  </si>
  <si>
    <t xml:space="preserve">         c2) Agropecuaria, Silvicultura, Pesca y Caza</t>
  </si>
  <si>
    <t xml:space="preserve">         c3) Combustibles y Energía</t>
  </si>
  <si>
    <t xml:space="preserve">         c4) Minería, Manufacturas y Construcción</t>
  </si>
  <si>
    <t xml:space="preserve">         c5) Transporte</t>
  </si>
  <si>
    <t xml:space="preserve">         c6) Comunicaciones</t>
  </si>
  <si>
    <t xml:space="preserve">         c7) Turismo</t>
  </si>
  <si>
    <t xml:space="preserve">         c8) Ciencia, Tecnología e Innovación</t>
  </si>
  <si>
    <t xml:space="preserve">         c9) Otras Industrias y Otros Asuntos Económicos</t>
  </si>
  <si>
    <t xml:space="preserve">         d3) Saneamiento del Sistema Financiero</t>
  </si>
  <si>
    <t xml:space="preserve">         d4) Adeudos de Ejercicios Fiscales Anteriores</t>
  </si>
  <si>
    <t>II. Gasto Etiquetado (II=A+B+C+D)</t>
  </si>
  <si>
    <t xml:space="preserve">         a1) Legislación</t>
  </si>
  <si>
    <t xml:space="preserve">         a2) Justicia</t>
  </si>
  <si>
    <t xml:space="preserve">         a3) Coordinación de la Política de Gobierno</t>
  </si>
  <si>
    <t xml:space="preserve">         a4) Relaciones Exteriores</t>
  </si>
  <si>
    <t xml:space="preserve">         a5) Asuntos Financieros y Hacendarios</t>
  </si>
  <si>
    <t xml:space="preserve">         a6) Seguridad Nacional</t>
  </si>
  <si>
    <t xml:space="preserve">         a7) Asuntos de Orden Público y de Seguridad Interior</t>
  </si>
  <si>
    <t xml:space="preserve">         a8) Otros Servicios Generales</t>
  </si>
  <si>
    <t xml:space="preserve">          b7) Otros Asuntos Sociales</t>
  </si>
  <si>
    <t xml:space="preserve">     C. Desarrollo Económico (C=c1+c2+c3+c4+c5+c6+c7+c8+c9)</t>
  </si>
  <si>
    <t xml:space="preserve">         c1) Asuntos Económicos, Comerciales y Laborales en General</t>
  </si>
  <si>
    <t xml:space="preserve">         d1) Transacciones de la Deuda Publica / Costo Financiero de la Deuda</t>
  </si>
  <si>
    <t>I. Gasto No Etiquetado (I=A+B+C+D+E+F)</t>
  </si>
  <si>
    <t>A. Personal Administrativo y de Servicio Público</t>
  </si>
  <si>
    <t>B. Magisterio</t>
  </si>
  <si>
    <t>C. Servicios de Salud (C=c1+c2)</t>
  </si>
  <si>
    <t xml:space="preserve">        c1) Personal Administrativo</t>
  </si>
  <si>
    <t xml:space="preserve">        c2) Personal Médico, Paramédico y afín</t>
  </si>
  <si>
    <t>D. Seguridad Pública</t>
  </si>
  <si>
    <t>E. Gastos asociados a la implementación de nuevas leyes federales o reformas a las mismas (E = e1 + e2)</t>
  </si>
  <si>
    <t xml:space="preserve">        e1) Nombre del Programa o Ley 1</t>
  </si>
  <si>
    <t xml:space="preserve">        e2) Nombre del Programa o Ley 2</t>
  </si>
  <si>
    <t>F. Sentencias laborales definitivas</t>
  </si>
  <si>
    <t>II. Gasto Etiquetado (II=A+B+C+D+E+F)</t>
  </si>
  <si>
    <t>III. Total del Gasto en Servicios Personales (III = I + II)</t>
  </si>
  <si>
    <t>Balance Presupuestario</t>
  </si>
  <si>
    <t>Estado Analítico de Ingresos Detallado</t>
  </si>
  <si>
    <t>Estado Analítico del Ejercicio del Presupuesto de Egresos Detallado</t>
  </si>
  <si>
    <t>Clasificación por Objeto del Gasto (Capítulo y Concepto)</t>
  </si>
  <si>
    <t>Clasificación Administrativa</t>
  </si>
  <si>
    <t>Clasificación Funcional (Finalidad y Función)</t>
  </si>
  <si>
    <t>Clasificación de Servicios Personales por Categoría</t>
  </si>
  <si>
    <t>POSTURA FISCAL</t>
  </si>
  <si>
    <t xml:space="preserve">Subejercicio </t>
  </si>
  <si>
    <t>Subejercicio</t>
  </si>
  <si>
    <t>Ampliaciones / (Reducciones)</t>
  </si>
  <si>
    <t>I. Total de Ingresos de Libre Disposición (I=A+B+C+D+E+F+G+H+I+J+K+L)</t>
  </si>
  <si>
    <t>D. Transferencias, Asignaciones, Subsidios y Otras Ayudas (D=d1+d2+d3+d4+d5+d6+d7+d8+d9)</t>
  </si>
  <si>
    <t>E. Bienes Muebles, Inmuebles e Intangibles  (E=e1+e2+e3+e4+e5+e6+e7+e8+e9)</t>
  </si>
  <si>
    <t xml:space="preserve">G. Inversiones Financieras y Otras Provisiones (G=g1+g2+g3+g4+g5+g6+g7) </t>
  </si>
  <si>
    <t>D. Transferencias, Asignaciones, Subsidios y Otras Ayudas  (D=d1+d2+d3+d4+d5+d6+d7+d8+d9)</t>
  </si>
  <si>
    <t>E. Bienes Muebles, Inmuebles e Intangibles (E=e1+e2+e3+e4+e5+e6+e7+e8+e9)</t>
  </si>
  <si>
    <t>G. Inversiones Financieras y Otras Provisiones  (G=g1+g2+g3+g4+g5+g6+g7)</t>
  </si>
  <si>
    <t xml:space="preserve">     D. Otras No Clasificadas en Funciones Anteriores  (D=d1+d2+d3+d4)</t>
  </si>
  <si>
    <t xml:space="preserve">          b1) Protección Ambiental</t>
  </si>
  <si>
    <t xml:space="preserve">          b2) Vivienda y Servicios a la Comunidad</t>
  </si>
  <si>
    <t xml:space="preserve">          b3) Salud</t>
  </si>
  <si>
    <t xml:space="preserve">          b4) Recreación, Cultura y Otras Manifestaciones Sociales</t>
  </si>
  <si>
    <t xml:space="preserve">          b5) Educación</t>
  </si>
  <si>
    <t xml:space="preserve">          b6) Protección Social</t>
  </si>
  <si>
    <t xml:space="preserve">            a8) Otros Servicios Generales</t>
  </si>
  <si>
    <t xml:space="preserve">            b3) Salud</t>
  </si>
  <si>
    <t xml:space="preserve">          c2) Agropecuaria, Silvicultura, Pesca y Caza</t>
  </si>
  <si>
    <t xml:space="preserve">          c3) Combustibles y Energía</t>
  </si>
  <si>
    <t xml:space="preserve">          c4) Minería, Manufacturas y Construcción</t>
  </si>
  <si>
    <t xml:space="preserve">          c5) Transporte</t>
  </si>
  <si>
    <t xml:space="preserve">          c6) Comunicaciones</t>
  </si>
  <si>
    <t xml:space="preserve">          c7) Turismo</t>
  </si>
  <si>
    <t xml:space="preserve">          c8) Ciencia, Tecnología e Innovación</t>
  </si>
  <si>
    <t xml:space="preserve">          c9) Otras Industrias y Otros Asuntos Económicos</t>
  </si>
  <si>
    <t xml:space="preserve">         d2) Transferencias, Participaciones y Aportaciones Entre Diferentes Niveles y Ordenes de Gobierno</t>
  </si>
  <si>
    <t>CLASIFICACIÓN DE SERVICIOS PERSONALES POR CATEGORÍA</t>
  </si>
  <si>
    <t>INGRESOS DE LIBRE DISPOSICIÓN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</si>
  <si>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</si>
  <si>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</si>
  <si>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</si>
  <si>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</si>
  <si>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</si>
  <si>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</si>
  <si>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</si>
  <si>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</si>
  <si>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</si>
  <si>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</si>
  <si>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</si>
  <si>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</si>
  <si>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</si>
  <si>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</si>
  <si>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</si>
  <si>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ACCESORIOS</t>
  </si>
  <si>
    <t>CONTRIBUCIONES DE MEJORAS</t>
  </si>
  <si>
    <t>CONTRIBUCIÓN DE MEJORAS POR OBRAS PUBLICAS</t>
  </si>
  <si>
    <t>CONTRIBUCIÓN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</si>
  <si>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</si>
  <si>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PUBLICO</t>
  </si>
  <si>
    <t>DERECHOS A LOS HIDROCARBUROS</t>
  </si>
  <si>
    <t>DERECHOS POR PRESTACIÓN DE SERVICIOS</t>
  </si>
  <si>
    <t>OTROS DERECHOS</t>
  </si>
  <si>
    <t>ACCESORIOS DE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</si>
  <si>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</si>
  <si>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</si>
  <si>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</si>
  <si>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</si>
  <si>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</si>
  <si>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</si>
  <si>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</si>
  <si>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>APROVECHAMIENTOS DE CAPITAL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</si>
  <si>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</si>
  <si>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</si>
  <si>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 DE BIENES Y SERVICIOS DE ORGANISMOS DESCENTRALIZADOS</t>
  </si>
  <si>
    <t>INGRESOS DE OPERACIÓN DE ENTIDADES PARAESTATALES EMPRESARIALES</t>
  </si>
  <si>
    <t>INGRESOS POR VENTAS DE BIENES Y SERVICIOS PRODUCIDOS EN ESTABLECIMIENTOS DEL GOBIERNO CENTRAL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</si>
  <si>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</si>
  <si>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</si>
  <si>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</si>
  <si>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</si>
  <si>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</si>
  <si>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</si>
  <si>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</si>
  <si>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</si>
  <si>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</si>
  <si>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</si>
  <si>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</si>
  <si>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</si>
  <si>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</si>
  <si>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</si>
  <si>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</si>
  <si>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</si>
  <si>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</si>
  <si>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</si>
  <si>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</si>
  <si>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</si>
  <si>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</si>
  <si>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</t>
  </si>
  <si>
    <t>PARTICIPACIONES EN INGRESOS LOCALES</t>
  </si>
  <si>
    <t>INGRESOS EXCEDENTES DE INGRESOS DE LIBRE DISPOSICIÓN</t>
  </si>
  <si>
    <t>TRANSFERENCIAS FEDERALES ETIQUETADAS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</si>
  <si>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</si>
  <si>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</si>
  <si>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</si>
  <si>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</si>
  <si>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</si>
  <si>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</si>
  <si>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</si>
  <si>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</si>
  <si>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</si>
  <si>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</si>
  <si>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</si>
  <si>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</si>
  <si>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</si>
  <si>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</si>
  <si>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</si>
  <si>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</si>
  <si>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</si>
  <si>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</si>
  <si>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</si>
  <si>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</si>
  <si>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</si>
  <si>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</si>
  <si>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OTRAS TRANSFERENCIAS FEDERALES ETIQUETADAS</t>
  </si>
  <si>
    <t>INGRESOS DERIVADOS DE FINANCIAMIENTOS</t>
  </si>
  <si>
    <t>ENDEUDAMIENTO INTERNO</t>
  </si>
  <si>
    <t>ENDEUDAMIENTO EXTERNO</t>
  </si>
  <si>
    <t>GASTO ETIQUETADO</t>
  </si>
  <si>
    <t>GASTO NO ETIQUETADO</t>
  </si>
  <si>
    <t>A. Ingresos Derivados de Financiamientos</t>
  </si>
  <si>
    <t xml:space="preserve">     L. Otros Ingresos de Libre Disposición (L=l1+l2)</t>
  </si>
  <si>
    <t xml:space="preserve">Egresos </t>
  </si>
  <si>
    <t xml:space="preserve">     D. Otras No Clasificadas en Funciones Anteriores (D=d1+d2+d3+d4)</t>
  </si>
  <si>
    <t xml:space="preserve">     H. Participaciones (H=h1+h2+h3+h4+h5+h6+h7+h8+h9+h10+h11)</t>
  </si>
  <si>
    <t xml:space="preserve">     g5) Inversiones en Fideicomisos, Mandatos y Otros Análogos Fideicomiso de Desastres Naturales (Informativo)</t>
  </si>
  <si>
    <t>Ingresos excedentes</t>
  </si>
  <si>
    <t>INFORMACIÓN TRIMESTRAL</t>
  </si>
  <si>
    <t>Ejercicio 2017</t>
  </si>
  <si>
    <t>INFORME DE INTERESES DE LA DEUDA</t>
  </si>
  <si>
    <t>TOTAL</t>
  </si>
  <si>
    <t>Total de Intereses de Otros Instrumentos de Deuda</t>
  </si>
  <si>
    <t>Otros Instrumentos de Deuda</t>
  </si>
  <si>
    <t>Total de Intereses de Créditos Bancarios</t>
  </si>
  <si>
    <t>Créditos Bancarios</t>
  </si>
  <si>
    <t>Identificación de Crédito o Instrumento</t>
  </si>
  <si>
    <t>Informe Intereses de la Deuda</t>
  </si>
  <si>
    <t>TRIMESTRE:</t>
  </si>
  <si>
    <t>PERIODOS</t>
  </si>
  <si>
    <t>INGRESOS</t>
  </si>
  <si>
    <t>EGRESOS</t>
  </si>
  <si>
    <t>CA</t>
  </si>
  <si>
    <t>CAdmon</t>
  </si>
  <si>
    <t>CTG</t>
  </si>
  <si>
    <t>COG</t>
  </si>
  <si>
    <t>COGCC</t>
  </si>
  <si>
    <t>CFG</t>
  </si>
  <si>
    <t>CFFF</t>
  </si>
  <si>
    <t>CProg</t>
  </si>
  <si>
    <t>CFF</t>
  </si>
  <si>
    <t>EAI</t>
  </si>
  <si>
    <t>EAID</t>
  </si>
  <si>
    <t>COMPROBACIÓN TOTALES</t>
  </si>
  <si>
    <t>Total Otros Instrumentos de Deuda</t>
  </si>
  <si>
    <t>Total Créditos Bancarios</t>
  </si>
  <si>
    <t>C = A - B</t>
  </si>
  <si>
    <t xml:space="preserve">Endeudamiento Neto </t>
  </si>
  <si>
    <t>Amortización</t>
  </si>
  <si>
    <t>Contratación / Colocación</t>
  </si>
  <si>
    <t>Informe de Endeudamiento Neto</t>
  </si>
  <si>
    <t>INFORME DE ENDEUDAMIENTO NETO</t>
  </si>
  <si>
    <t>UNIDAD DE SERVICIOS PARA LA EDUCACION BASICA EN EL ESTADO DE QUERETARO</t>
  </si>
  <si>
    <t>DIRECTOR DE ADMINISTRACION</t>
  </si>
  <si>
    <t xml:space="preserve">     A. P650 COORDINACION GENERAL DE USEBEQ</t>
  </si>
  <si>
    <t xml:space="preserve">     B. P655 ORGANO DE CONTROL INTERNO</t>
  </si>
  <si>
    <t xml:space="preserve">     C. P660 DIRECCION JURIDICA</t>
  </si>
  <si>
    <t xml:space="preserve">     D. P670 DIRECCION DE EVALUACION DE LA POLITICA EDUCATIVA</t>
  </si>
  <si>
    <t xml:space="preserve">     E. P680 DIRECCION DE COMUNICACION SOCIAL</t>
  </si>
  <si>
    <t xml:space="preserve">     F. P690 SUBCOORDINACION  DE GESTION EDUCATIVA</t>
  </si>
  <si>
    <t xml:space="preserve">     G. P700 DIRECCION DE EDUCACION PREESCOLAR E INICIA</t>
  </si>
  <si>
    <t xml:space="preserve">     H. P710 DIRECCION DE EDUCACION PRIMARIA</t>
  </si>
  <si>
    <t xml:space="preserve">     I. P720 DIRECCION DE EDUCACION SECUNDARIA</t>
  </si>
  <si>
    <t xml:space="preserve">     J. P730 DIRECCION DE EQUIDAD Y APOYO A LA EDUCACION</t>
  </si>
  <si>
    <t xml:space="preserve">     K. P740 DIRECCION DE CALIDAD E INNOVACION EDUCATIVA</t>
  </si>
  <si>
    <t xml:space="preserve">     L. P750 SUBCOORDINACION DE GESTION ADMINISTRATIVA</t>
  </si>
  <si>
    <t xml:space="preserve">     M. P760 DIRECCION DE PLANEACION EDUCATIVA</t>
  </si>
  <si>
    <t xml:space="preserve">     N. P770 DIRECCION DE RECURSOS HUMANOS</t>
  </si>
  <si>
    <t xml:space="preserve">     O. P780 DIRECCION DE ADMINISTRACION</t>
  </si>
  <si>
    <t xml:space="preserve">     P. P790 DIRECCION DE OBRA</t>
  </si>
  <si>
    <t xml:space="preserve">     Q. P800 DIRECCION DE TECNOLOGIAS DE INFORMACION Y COMUNICACIÓN</t>
  </si>
  <si>
    <t xml:space="preserve">     B. P670 DIRECCION DE EVALUACION DE LA POLITICA EDUCATIVA</t>
  </si>
  <si>
    <t xml:space="preserve">     C. P710 DIRECCION DE EDUCACION PRIMARIA</t>
  </si>
  <si>
    <t xml:space="preserve">     D. P740 DIRECCION DE CALIDAD E INNOVACION EDUCATIVA</t>
  </si>
  <si>
    <t xml:space="preserve">     E. P770 DIRECCION DE RECURSOS HUMANOS</t>
  </si>
  <si>
    <t xml:space="preserve">     F. P780 DIRECCION DE ADMINISTRACION</t>
  </si>
  <si>
    <t xml:space="preserve">     G. P790 DIRECCION DE OBRA</t>
  </si>
  <si>
    <t xml:space="preserve">     H. P800 DIRECCION DE TECNOLOGIAS DE INFORMACION Y COMUNICACIÓN</t>
  </si>
  <si>
    <t>ING. ENRIQUE DE ECHAVARRI LARY</t>
  </si>
  <si>
    <t xml:space="preserve">COORDINADOR GENERAL </t>
  </si>
  <si>
    <t>LIC. RICARDO SALVADOR BACA MUÑOZ</t>
  </si>
  <si>
    <t xml:space="preserve">NADA QUE MANIFESTAR </t>
  </si>
  <si>
    <t>Cuenta Pública 2016</t>
  </si>
  <si>
    <t>Guía de Cumplimiento de la Ley de Disciplina Financiera de las Entidades Federativas y Municipios</t>
  </si>
  <si>
    <t>Del 1 de Enero al 30 de Septiembre de 2017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</si>
  <si>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</si>
  <si>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</si>
  <si>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</si>
  <si>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</si>
  <si>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</si>
  <si>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</si>
  <si>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</si>
  <si>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</si>
  <si>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</si>
  <si>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</si>
  <si>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</si>
  <si>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</si>
  <si>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</si>
  <si>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</si>
  <si>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</si>
  <si>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</si>
  <si>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</si>
  <si>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</si>
  <si>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</si>
  <si>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</si>
  <si>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</si>
  <si>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</si>
  <si>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</si>
  <si>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</si>
  <si>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</si>
  <si>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</si>
  <si>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>N.A.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</si>
  <si>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</si>
  <si>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</si>
  <si>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</si>
  <si>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</si>
  <si>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</si>
  <si>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</si>
  <si>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</si>
  <si>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</si>
  <si>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</si>
  <si>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</si>
  <si>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</si>
  <si>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</si>
  <si>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</si>
  <si>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</si>
  <si>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</si>
  <si>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</si>
  <si>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</si>
  <si>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</si>
  <si>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</si>
  <si>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</si>
  <si>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</si>
  <si>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</si>
  <si>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</si>
  <si>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</si>
  <si>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</si>
  <si>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</si>
  <si>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</si>
  <si>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</si>
  <si>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</si>
  <si>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</si>
  <si>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</si>
  <si>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</si>
  <si>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</si>
  <si>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</si>
  <si>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</si>
  <si>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</si>
  <si>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</si>
  <si>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</si>
  <si>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</si>
  <si>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</si>
  <si>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</si>
  <si>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</si>
  <si>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</si>
  <si>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</si>
  <si>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</si>
  <si>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</si>
  <si>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</si>
  <si>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</si>
  <si>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</si>
  <si>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</si>
  <si>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</si>
  <si>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</si>
  <si>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</si>
  <si>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</si>
  <si>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</si>
  <si>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</si>
  <si>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</si>
  <si>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</si>
  <si>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</si>
  <si>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</si>
  <si>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</si>
  <si>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</si>
  <si>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</si>
  <si>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</si>
  <si>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</si>
  <si>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</si>
  <si>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</si>
  <si>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</si>
  <si>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</si>
  <si>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</si>
  <si>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</si>
  <si>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</si>
  <si>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Del 1 de enero al 30 de septiembre de 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</si>
</sst>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000000000000000000000"/>
    <numFmt numFmtId="165" formatCode="#,##0.000000000000000000000000000000_ ;\-#,##0.000000000000000000000000000000\ "/>
    <numFmt numFmtId="166" formatCode="0_ ;\-0\ "/>
    <numFmt numFmtId="167" formatCode="General_)"/>
    <numFmt numFmtId="168" formatCode="#,##0_ ;\-#,##0\ "/>
    <numFmt numFmtId="169" formatCode="_-* #,##0_-;\-* #,##0_-;_-* &quot;-&quot;??_-;_-@_-"/>
    <numFmt numFmtId="170" formatCode="#,##0.00_ ;[Red]\-#,##0.00\ "/>
    <numFmt numFmtId="171" formatCode="#,##0_ ;[Red]\-#,##0\ "/>
    <numFmt numFmtId="172" formatCode="mmmm\-yyyy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b/>
      <vertAlign val="superscript"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sz val="9"/>
      <color indexed="9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i/>
      <sz val="9"/>
      <color indexed="8"/>
      <name val="Calibri"/>
      <family val="2"/>
    </font>
    <font>
      <sz val="9"/>
      <color indexed="10"/>
      <name val="Calibri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sz val="8.5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28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b/>
      <sz val="20"/>
      <name val="Calibri"/>
      <family val="2"/>
    </font>
    <font>
      <b/>
      <sz val="28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9"/>
      <color rgb="FFFF0000"/>
      <name val="Calibri"/>
      <family val="2"/>
    </font>
    <font>
      <sz val="9"/>
      <color theme="0"/>
      <name val="Calibri"/>
      <family val="2"/>
    </font>
    <font>
      <i/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rgb="FFFF0000"/>
      <name val="Calibri"/>
      <family val="2"/>
    </font>
    <font>
      <sz val="16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vertAlign val="superscript"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28"/>
      <color theme="1"/>
      <name val="Calibri"/>
      <family val="2"/>
    </font>
    <font>
      <b/>
      <sz val="24"/>
      <color theme="1"/>
      <name val="Calibri"/>
      <family val="2"/>
    </font>
    <font>
      <b/>
      <sz val="1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4" fillId="21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58" fillId="0" borderId="8" applyNumberFormat="0" applyFill="0" applyAlignment="0" applyProtection="0"/>
    <xf numFmtId="0" fontId="69" fillId="0" borderId="9" applyNumberFormat="0" applyFill="0" applyAlignment="0" applyProtection="0"/>
  </cellStyleXfs>
  <cellXfs count="913">
    <xf numFmtId="0" fontId="0" fillId="0" borderId="0" xfId="0" applyFont="1" applyAlignment="1">
      <alignment/>
    </xf>
    <xf numFmtId="0" fontId="70" fillId="0" borderId="0" xfId="0" applyFont="1" applyAlignment="1" applyProtection="1">
      <alignment/>
      <protection/>
    </xf>
    <xf numFmtId="0" fontId="71" fillId="0" borderId="0" xfId="0" applyFont="1" applyFill="1" applyAlignment="1" applyProtection="1">
      <alignment/>
      <protection/>
    </xf>
    <xf numFmtId="0" fontId="71" fillId="0" borderId="0" xfId="0" applyFont="1" applyAlignment="1" applyProtection="1">
      <alignment/>
      <protection/>
    </xf>
    <xf numFmtId="0" fontId="70" fillId="0" borderId="0" xfId="0" applyFont="1" applyFill="1" applyAlignment="1" applyProtection="1">
      <alignment horizontal="right"/>
      <protection/>
    </xf>
    <xf numFmtId="0" fontId="70" fillId="0" borderId="0" xfId="0" applyFont="1" applyFill="1" applyAlignment="1" applyProtection="1">
      <alignment/>
      <protection/>
    </xf>
    <xf numFmtId="164" fontId="71" fillId="0" borderId="0" xfId="0" applyNumberFormat="1" applyFont="1" applyFill="1" applyAlignment="1" applyProtection="1">
      <alignment/>
      <protection/>
    </xf>
    <xf numFmtId="164" fontId="71" fillId="0" borderId="0" xfId="50" applyNumberFormat="1" applyFont="1" applyFill="1" applyAlignment="1" applyProtection="1">
      <alignment/>
      <protection/>
    </xf>
    <xf numFmtId="4" fontId="71" fillId="0" borderId="0" xfId="50" applyNumberFormat="1" applyFont="1" applyFill="1" applyAlignment="1" applyProtection="1">
      <alignment/>
      <protection/>
    </xf>
    <xf numFmtId="165" fontId="71" fillId="0" borderId="0" xfId="0" applyNumberFormat="1" applyFont="1" applyFill="1" applyAlignment="1" applyProtection="1">
      <alignment/>
      <protection/>
    </xf>
    <xf numFmtId="4" fontId="70" fillId="0" borderId="0" xfId="50" applyNumberFormat="1" applyFont="1" applyFill="1" applyAlignment="1" applyProtection="1">
      <alignment/>
      <protection/>
    </xf>
    <xf numFmtId="0" fontId="72" fillId="33" borderId="0" xfId="0" applyFont="1" applyFill="1" applyAlignment="1" applyProtection="1">
      <alignment/>
      <protection/>
    </xf>
    <xf numFmtId="0" fontId="71" fillId="0" borderId="0" xfId="0" applyFont="1" applyFill="1" applyBorder="1" applyAlignment="1" applyProtection="1">
      <alignment/>
      <protection/>
    </xf>
    <xf numFmtId="165" fontId="71" fillId="0" borderId="0" xfId="0" applyNumberFormat="1" applyFont="1" applyFill="1" applyBorder="1" applyAlignment="1" applyProtection="1">
      <alignment/>
      <protection/>
    </xf>
    <xf numFmtId="0" fontId="71" fillId="0" borderId="10" xfId="0" applyFont="1" applyFill="1" applyBorder="1" applyAlignment="1" applyProtection="1">
      <alignment horizontal="center"/>
      <protection/>
    </xf>
    <xf numFmtId="0" fontId="71" fillId="0" borderId="10" xfId="0" applyFont="1" applyFill="1" applyBorder="1" applyAlignment="1" applyProtection="1">
      <alignment/>
      <protection/>
    </xf>
    <xf numFmtId="4" fontId="70" fillId="0" borderId="10" xfId="50" applyNumberFormat="1" applyFont="1" applyFill="1" applyBorder="1" applyAlignment="1" applyProtection="1">
      <alignment/>
      <protection/>
    </xf>
    <xf numFmtId="0" fontId="71" fillId="0" borderId="11" xfId="0" applyFont="1" applyBorder="1" applyAlignment="1" applyProtection="1">
      <alignment/>
      <protection/>
    </xf>
    <xf numFmtId="17" fontId="71" fillId="0" borderId="0" xfId="0" applyNumberFormat="1" applyFont="1" applyAlignment="1" applyProtection="1">
      <alignment/>
      <protection/>
    </xf>
    <xf numFmtId="4" fontId="71" fillId="0" borderId="0" xfId="0" applyNumberFormat="1" applyFont="1" applyAlignment="1" applyProtection="1">
      <alignment/>
      <protection/>
    </xf>
    <xf numFmtId="0" fontId="71" fillId="33" borderId="0" xfId="0" applyFont="1" applyFill="1" applyBorder="1" applyAlignment="1" applyProtection="1">
      <alignment/>
      <protection/>
    </xf>
    <xf numFmtId="0" fontId="71" fillId="33" borderId="0" xfId="0" applyFont="1" applyFill="1" applyAlignment="1" applyProtection="1">
      <alignment/>
      <protection/>
    </xf>
    <xf numFmtId="0" fontId="25" fillId="33" borderId="0" xfId="56" applyFont="1" applyFill="1" applyBorder="1" applyAlignment="1" applyProtection="1">
      <alignment horizontal="center"/>
      <protection/>
    </xf>
    <xf numFmtId="0" fontId="70" fillId="33" borderId="0" xfId="0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right"/>
      <protection/>
    </xf>
    <xf numFmtId="0" fontId="71" fillId="33" borderId="0" xfId="0" applyFont="1" applyFill="1" applyBorder="1" applyAlignment="1" applyProtection="1">
      <alignment/>
      <protection/>
    </xf>
    <xf numFmtId="0" fontId="73" fillId="33" borderId="0" xfId="0" applyFont="1" applyFill="1" applyBorder="1" applyAlignment="1" applyProtection="1">
      <alignment horizontal="center"/>
      <protection/>
    </xf>
    <xf numFmtId="0" fontId="71" fillId="33" borderId="12" xfId="0" applyFont="1" applyFill="1" applyBorder="1" applyAlignment="1" applyProtection="1">
      <alignment/>
      <protection/>
    </xf>
    <xf numFmtId="0" fontId="25" fillId="33" borderId="0" xfId="56" applyFont="1" applyFill="1" applyBorder="1" applyAlignment="1" applyProtection="1">
      <alignment vertical="center"/>
      <protection/>
    </xf>
    <xf numFmtId="0" fontId="27" fillId="33" borderId="0" xfId="56" applyFont="1" applyFill="1" applyBorder="1" applyAlignment="1" applyProtection="1">
      <alignment/>
      <protection/>
    </xf>
    <xf numFmtId="0" fontId="71" fillId="33" borderId="13" xfId="0" applyFont="1" applyFill="1" applyBorder="1" applyAlignment="1" applyProtection="1">
      <alignment/>
      <protection/>
    </xf>
    <xf numFmtId="0" fontId="25" fillId="33" borderId="12" xfId="0" applyFont="1" applyFill="1" applyBorder="1" applyAlignment="1" applyProtection="1">
      <alignment/>
      <protection/>
    </xf>
    <xf numFmtId="3" fontId="27" fillId="33" borderId="0" xfId="0" applyNumberFormat="1" applyFont="1" applyFill="1" applyBorder="1" applyAlignment="1" applyProtection="1">
      <alignment vertical="top"/>
      <protection/>
    </xf>
    <xf numFmtId="0" fontId="71" fillId="33" borderId="0" xfId="0" applyFont="1" applyFill="1" applyBorder="1" applyAlignment="1" applyProtection="1">
      <alignment vertical="top"/>
      <protection/>
    </xf>
    <xf numFmtId="0" fontId="71" fillId="33" borderId="13" xfId="0" applyFont="1" applyFill="1" applyBorder="1" applyAlignment="1" applyProtection="1">
      <alignment/>
      <protection/>
    </xf>
    <xf numFmtId="0" fontId="71" fillId="33" borderId="0" xfId="0" applyFont="1" applyFill="1" applyAlignment="1" applyProtection="1">
      <alignment/>
      <protection/>
    </xf>
    <xf numFmtId="0" fontId="25" fillId="33" borderId="12" xfId="0" applyFont="1" applyFill="1" applyBorder="1" applyAlignment="1" applyProtection="1">
      <alignment horizontal="left" vertical="top"/>
      <protection/>
    </xf>
    <xf numFmtId="3" fontId="25" fillId="33" borderId="0" xfId="0" applyNumberFormat="1" applyFont="1" applyFill="1" applyBorder="1" applyAlignment="1" applyProtection="1">
      <alignment vertical="top"/>
      <protection/>
    </xf>
    <xf numFmtId="0" fontId="71" fillId="33" borderId="13" xfId="0" applyFont="1" applyFill="1" applyBorder="1" applyAlignment="1" applyProtection="1">
      <alignment vertical="top"/>
      <protection/>
    </xf>
    <xf numFmtId="0" fontId="27" fillId="33" borderId="12" xfId="0" applyFont="1" applyFill="1" applyBorder="1" applyAlignment="1" applyProtection="1">
      <alignment horizontal="left" vertical="top"/>
      <protection/>
    </xf>
    <xf numFmtId="3" fontId="27" fillId="33" borderId="0" xfId="50" applyNumberFormat="1" applyFont="1" applyFill="1" applyBorder="1" applyAlignment="1" applyProtection="1">
      <alignment vertical="top"/>
      <protection/>
    </xf>
    <xf numFmtId="0" fontId="25" fillId="33" borderId="0" xfId="0" applyFont="1" applyFill="1" applyBorder="1" applyAlignment="1" applyProtection="1">
      <alignment vertical="top" wrapText="1"/>
      <protection/>
    </xf>
    <xf numFmtId="0" fontId="27" fillId="33" borderId="0" xfId="0" applyFont="1" applyFill="1" applyBorder="1" applyAlignment="1" applyProtection="1">
      <alignment vertical="top"/>
      <protection/>
    </xf>
    <xf numFmtId="3" fontId="28" fillId="33" borderId="0" xfId="0" applyNumberFormat="1" applyFont="1" applyFill="1" applyBorder="1" applyAlignment="1" applyProtection="1">
      <alignment vertical="top"/>
      <protection/>
    </xf>
    <xf numFmtId="0" fontId="29" fillId="33" borderId="0" xfId="0" applyFont="1" applyFill="1" applyBorder="1" applyAlignment="1" applyProtection="1">
      <alignment vertical="top"/>
      <protection/>
    </xf>
    <xf numFmtId="0" fontId="29" fillId="33" borderId="12" xfId="0" applyFont="1" applyFill="1" applyBorder="1" applyAlignment="1" applyProtection="1">
      <alignment horizontal="left" vertical="top"/>
      <protection/>
    </xf>
    <xf numFmtId="3" fontId="29" fillId="33" borderId="0" xfId="0" applyNumberFormat="1" applyFont="1" applyFill="1" applyBorder="1" applyAlignment="1" applyProtection="1">
      <alignment vertical="top"/>
      <protection/>
    </xf>
    <xf numFmtId="0" fontId="74" fillId="33" borderId="0" xfId="0" applyFont="1" applyFill="1" applyBorder="1" applyAlignment="1" applyProtection="1">
      <alignment vertical="top"/>
      <protection/>
    </xf>
    <xf numFmtId="3" fontId="25" fillId="33" borderId="0" xfId="50" applyNumberFormat="1" applyFont="1" applyFill="1" applyBorder="1" applyAlignment="1" applyProtection="1">
      <alignment vertical="top"/>
      <protection/>
    </xf>
    <xf numFmtId="0" fontId="71" fillId="33" borderId="12" xfId="0" applyFont="1" applyFill="1" applyBorder="1" applyAlignment="1" applyProtection="1">
      <alignment/>
      <protection/>
    </xf>
    <xf numFmtId="3" fontId="29" fillId="33" borderId="0" xfId="50" applyNumberFormat="1" applyFont="1" applyFill="1" applyBorder="1" applyAlignment="1" applyProtection="1">
      <alignment vertical="top"/>
      <protection/>
    </xf>
    <xf numFmtId="0" fontId="74" fillId="33" borderId="13" xfId="0" applyFont="1" applyFill="1" applyBorder="1" applyAlignment="1" applyProtection="1">
      <alignment vertical="top"/>
      <protection/>
    </xf>
    <xf numFmtId="0" fontId="29" fillId="33" borderId="0" xfId="0" applyFont="1" applyFill="1" applyBorder="1" applyAlignment="1" applyProtection="1">
      <alignment vertical="top" wrapText="1"/>
      <protection/>
    </xf>
    <xf numFmtId="0" fontId="71" fillId="33" borderId="14" xfId="0" applyFont="1" applyFill="1" applyBorder="1" applyAlignment="1" applyProtection="1">
      <alignment/>
      <protection/>
    </xf>
    <xf numFmtId="0" fontId="71" fillId="33" borderId="11" xfId="0" applyFont="1" applyFill="1" applyBorder="1" applyAlignment="1" applyProtection="1">
      <alignment/>
      <protection/>
    </xf>
    <xf numFmtId="0" fontId="71" fillId="33" borderId="11" xfId="0" applyFont="1" applyFill="1" applyBorder="1" applyAlignment="1" applyProtection="1">
      <alignment/>
      <protection/>
    </xf>
    <xf numFmtId="0" fontId="71" fillId="33" borderId="15" xfId="0" applyFont="1" applyFill="1" applyBorder="1" applyAlignment="1" applyProtection="1">
      <alignment/>
      <protection/>
    </xf>
    <xf numFmtId="0" fontId="27" fillId="33" borderId="11" xfId="0" applyFont="1" applyFill="1" applyBorder="1" applyAlignment="1" applyProtection="1">
      <alignment vertical="top"/>
      <protection/>
    </xf>
    <xf numFmtId="0" fontId="27" fillId="33" borderId="11" xfId="0" applyFont="1" applyFill="1" applyBorder="1" applyAlignment="1" applyProtection="1">
      <alignment/>
      <protection/>
    </xf>
    <xf numFmtId="43" fontId="27" fillId="33" borderId="11" xfId="50" applyFont="1" applyFill="1" applyBorder="1" applyAlignment="1" applyProtection="1">
      <alignment/>
      <protection/>
    </xf>
    <xf numFmtId="0" fontId="27" fillId="33" borderId="11" xfId="0" applyFont="1" applyFill="1" applyBorder="1" applyAlignment="1" applyProtection="1">
      <alignment vertical="center"/>
      <protection/>
    </xf>
    <xf numFmtId="0" fontId="27" fillId="33" borderId="11" xfId="0" applyFont="1" applyFill="1" applyBorder="1" applyAlignment="1" applyProtection="1">
      <alignment/>
      <protection/>
    </xf>
    <xf numFmtId="0" fontId="27" fillId="33" borderId="0" xfId="0" applyFont="1" applyFill="1" applyBorder="1" applyAlignment="1" applyProtection="1">
      <alignment/>
      <protection/>
    </xf>
    <xf numFmtId="43" fontId="27" fillId="33" borderId="0" xfId="50" applyFont="1" applyFill="1" applyBorder="1" applyAlignment="1" applyProtection="1">
      <alignment/>
      <protection/>
    </xf>
    <xf numFmtId="0" fontId="27" fillId="33" borderId="0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/>
      <protection/>
    </xf>
    <xf numFmtId="0" fontId="25" fillId="33" borderId="0" xfId="0" applyFont="1" applyFill="1" applyBorder="1" applyAlignment="1" applyProtection="1">
      <alignment horizontal="right" vertical="top"/>
      <protection/>
    </xf>
    <xf numFmtId="0" fontId="25" fillId="33" borderId="0" xfId="0" applyFont="1" applyFill="1" applyBorder="1" applyAlignment="1" applyProtection="1">
      <alignment vertical="top"/>
      <protection/>
    </xf>
    <xf numFmtId="0" fontId="27" fillId="33" borderId="0" xfId="0" applyFont="1" applyFill="1" applyBorder="1" applyAlignment="1" applyProtection="1">
      <alignment horizontal="right"/>
      <protection/>
    </xf>
    <xf numFmtId="43" fontId="27" fillId="33" borderId="0" xfId="50" applyFont="1" applyFill="1" applyBorder="1" applyAlignment="1" applyProtection="1">
      <alignment vertical="top"/>
      <protection/>
    </xf>
    <xf numFmtId="0" fontId="27" fillId="33" borderId="0" xfId="0" applyFont="1" applyFill="1" applyBorder="1" applyAlignment="1" applyProtection="1">
      <alignment vertical="top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71" fillId="33" borderId="0" xfId="0" applyFont="1" applyFill="1" applyAlignment="1" applyProtection="1">
      <alignment vertical="top"/>
      <protection/>
    </xf>
    <xf numFmtId="0" fontId="25" fillId="33" borderId="0" xfId="15" applyNumberFormat="1" applyFont="1" applyFill="1" applyBorder="1" applyAlignment="1" applyProtection="1">
      <alignment horizontal="centerContinuous" vertical="center"/>
      <protection/>
    </xf>
    <xf numFmtId="0" fontId="25" fillId="33" borderId="0" xfId="15" applyNumberFormat="1" applyFont="1" applyFill="1" applyBorder="1" applyAlignment="1" applyProtection="1">
      <alignment vertical="center"/>
      <protection/>
    </xf>
    <xf numFmtId="0" fontId="25" fillId="33" borderId="0" xfId="15" applyNumberFormat="1" applyFont="1" applyFill="1" applyBorder="1" applyAlignment="1" applyProtection="1">
      <alignment horizontal="right" vertical="top"/>
      <protection/>
    </xf>
    <xf numFmtId="0" fontId="73" fillId="33" borderId="0" xfId="0" applyFont="1" applyFill="1" applyAlignment="1" applyProtection="1">
      <alignment vertical="top"/>
      <protection/>
    </xf>
    <xf numFmtId="0" fontId="73" fillId="33" borderId="0" xfId="0" applyFont="1" applyFill="1" applyBorder="1" applyAlignment="1" applyProtection="1">
      <alignment/>
      <protection/>
    </xf>
    <xf numFmtId="0" fontId="25" fillId="33" borderId="12" xfId="15" applyNumberFormat="1" applyFont="1" applyFill="1" applyBorder="1" applyAlignment="1" applyProtection="1">
      <alignment vertical="center"/>
      <protection/>
    </xf>
    <xf numFmtId="0" fontId="71" fillId="33" borderId="12" xfId="0" applyFont="1" applyFill="1" applyBorder="1" applyAlignment="1" applyProtection="1">
      <alignment vertical="top"/>
      <protection/>
    </xf>
    <xf numFmtId="168" fontId="27" fillId="33" borderId="0" xfId="50" applyNumberFormat="1" applyFont="1" applyFill="1" applyBorder="1" applyAlignment="1" applyProtection="1">
      <alignment vertical="top"/>
      <protection/>
    </xf>
    <xf numFmtId="0" fontId="71" fillId="33" borderId="0" xfId="0" applyFont="1" applyFill="1" applyBorder="1" applyAlignment="1" applyProtection="1">
      <alignment horizontal="right" vertical="top"/>
      <protection/>
    </xf>
    <xf numFmtId="0" fontId="27" fillId="33" borderId="0" xfId="0" applyFont="1" applyFill="1" applyBorder="1" applyAlignment="1" applyProtection="1">
      <alignment horizontal="left" vertical="top" wrapText="1"/>
      <protection/>
    </xf>
    <xf numFmtId="0" fontId="70" fillId="33" borderId="12" xfId="0" applyFont="1" applyFill="1" applyBorder="1" applyAlignment="1" applyProtection="1">
      <alignment vertical="top"/>
      <protection/>
    </xf>
    <xf numFmtId="0" fontId="70" fillId="33" borderId="0" xfId="0" applyFont="1" applyFill="1" applyBorder="1" applyAlignment="1" applyProtection="1">
      <alignment horizontal="right" vertical="top"/>
      <protection/>
    </xf>
    <xf numFmtId="0" fontId="25" fillId="33" borderId="0" xfId="0" applyFont="1" applyFill="1" applyBorder="1" applyAlignment="1" applyProtection="1">
      <alignment horizontal="left" vertical="top" wrapText="1"/>
      <protection/>
    </xf>
    <xf numFmtId="0" fontId="71" fillId="33" borderId="0" xfId="0" applyFont="1" applyFill="1" applyBorder="1" applyAlignment="1" applyProtection="1">
      <alignment vertical="top" wrapText="1"/>
      <protection/>
    </xf>
    <xf numFmtId="0" fontId="25" fillId="33" borderId="0" xfId="0" applyFont="1" applyFill="1" applyBorder="1" applyAlignment="1" applyProtection="1">
      <alignment horizontal="left" vertical="top"/>
      <protection/>
    </xf>
    <xf numFmtId="0" fontId="73" fillId="33" borderId="0" xfId="0" applyFont="1" applyFill="1" applyBorder="1" applyAlignment="1" applyProtection="1">
      <alignment vertical="center" wrapText="1"/>
      <protection/>
    </xf>
    <xf numFmtId="3" fontId="28" fillId="33" borderId="0" xfId="50" applyNumberFormat="1" applyFont="1" applyFill="1" applyBorder="1" applyAlignment="1" applyProtection="1">
      <alignment vertical="top"/>
      <protection/>
    </xf>
    <xf numFmtId="3" fontId="27" fillId="33" borderId="0" xfId="0" applyNumberFormat="1" applyFont="1" applyFill="1" applyBorder="1" applyAlignment="1" applyProtection="1">
      <alignment vertical="top" wrapText="1"/>
      <protection/>
    </xf>
    <xf numFmtId="0" fontId="27" fillId="33" borderId="0" xfId="0" applyFont="1" applyFill="1" applyBorder="1" applyAlignment="1" applyProtection="1">
      <alignment horizontal="left" vertical="top"/>
      <protection/>
    </xf>
    <xf numFmtId="0" fontId="71" fillId="33" borderId="14" xfId="0" applyFont="1" applyFill="1" applyBorder="1" applyAlignment="1" applyProtection="1">
      <alignment vertical="top"/>
      <protection/>
    </xf>
    <xf numFmtId="0" fontId="71" fillId="33" borderId="11" xfId="0" applyFont="1" applyFill="1" applyBorder="1" applyAlignment="1" applyProtection="1">
      <alignment vertical="top"/>
      <protection/>
    </xf>
    <xf numFmtId="0" fontId="71" fillId="33" borderId="11" xfId="0" applyFont="1" applyFill="1" applyBorder="1" applyAlignment="1" applyProtection="1">
      <alignment horizontal="right" vertical="top"/>
      <protection/>
    </xf>
    <xf numFmtId="43" fontId="27" fillId="33" borderId="0" xfId="50" applyFont="1" applyFill="1" applyBorder="1" applyAlignment="1" applyProtection="1">
      <alignment horizontal="right" vertical="top"/>
      <protection/>
    </xf>
    <xf numFmtId="0" fontId="70" fillId="33" borderId="0" xfId="57" applyFont="1" applyFill="1" applyProtection="1">
      <alignment/>
      <protection/>
    </xf>
    <xf numFmtId="0" fontId="70" fillId="33" borderId="0" xfId="57" applyFont="1" applyFill="1" applyAlignment="1" applyProtection="1">
      <alignment horizontal="center"/>
      <protection/>
    </xf>
    <xf numFmtId="0" fontId="70" fillId="33" borderId="0" xfId="57" applyFont="1" applyFill="1" applyAlignment="1" applyProtection="1">
      <alignment/>
      <protection/>
    </xf>
    <xf numFmtId="0" fontId="71" fillId="33" borderId="0" xfId="57" applyFont="1" applyFill="1" applyProtection="1">
      <alignment/>
      <protection/>
    </xf>
    <xf numFmtId="0" fontId="3" fillId="33" borderId="16" xfId="57" applyFont="1" applyFill="1" applyBorder="1" applyProtection="1">
      <alignment/>
      <protection/>
    </xf>
    <xf numFmtId="0" fontId="3" fillId="33" borderId="10" xfId="57" applyFont="1" applyFill="1" applyBorder="1" applyProtection="1">
      <alignment/>
      <protection/>
    </xf>
    <xf numFmtId="0" fontId="3" fillId="33" borderId="17" xfId="57" applyFont="1" applyFill="1" applyBorder="1" applyProtection="1">
      <alignment/>
      <protection/>
    </xf>
    <xf numFmtId="0" fontId="3" fillId="33" borderId="17" xfId="57" applyFont="1" applyFill="1" applyBorder="1" applyAlignment="1" applyProtection="1">
      <alignment horizontal="center"/>
      <protection/>
    </xf>
    <xf numFmtId="0" fontId="3" fillId="33" borderId="18" xfId="57" applyFont="1" applyFill="1" applyBorder="1" applyAlignment="1" applyProtection="1">
      <alignment horizontal="center"/>
      <protection/>
    </xf>
    <xf numFmtId="3" fontId="27" fillId="33" borderId="19" xfId="56" applyNumberFormat="1" applyFont="1" applyFill="1" applyBorder="1" applyAlignment="1" applyProtection="1">
      <alignment vertical="top"/>
      <protection/>
    </xf>
    <xf numFmtId="0" fontId="3" fillId="33" borderId="12" xfId="57" applyFont="1" applyFill="1" applyBorder="1" applyAlignment="1" applyProtection="1">
      <alignment horizontal="center" vertical="center"/>
      <protection/>
    </xf>
    <xf numFmtId="0" fontId="2" fillId="33" borderId="0" xfId="57" applyFont="1" applyFill="1" applyProtection="1">
      <alignment/>
      <protection/>
    </xf>
    <xf numFmtId="0" fontId="3" fillId="33" borderId="14" xfId="57" applyFont="1" applyFill="1" applyBorder="1" applyAlignment="1" applyProtection="1">
      <alignment horizontal="center" vertical="center"/>
      <protection/>
    </xf>
    <xf numFmtId="0" fontId="3" fillId="33" borderId="11" xfId="57" applyFont="1" applyFill="1" applyBorder="1" applyAlignment="1" applyProtection="1">
      <alignment horizontal="center" vertical="center"/>
      <protection/>
    </xf>
    <xf numFmtId="0" fontId="3" fillId="33" borderId="15" xfId="57" applyFont="1" applyFill="1" applyBorder="1" applyAlignment="1" applyProtection="1">
      <alignment wrapText="1"/>
      <protection/>
    </xf>
    <xf numFmtId="169" fontId="3" fillId="33" borderId="15" xfId="52" applyNumberFormat="1" applyFont="1" applyFill="1" applyBorder="1" applyAlignment="1" applyProtection="1">
      <alignment horizontal="center"/>
      <protection/>
    </xf>
    <xf numFmtId="169" fontId="3" fillId="33" borderId="20" xfId="52" applyNumberFormat="1" applyFont="1" applyFill="1" applyBorder="1" applyAlignment="1" applyProtection="1">
      <alignment horizontal="center"/>
      <protection/>
    </xf>
    <xf numFmtId="0" fontId="2" fillId="33" borderId="21" xfId="57" applyFont="1" applyFill="1" applyBorder="1" applyAlignment="1" applyProtection="1">
      <alignment horizontal="centerContinuous"/>
      <protection/>
    </xf>
    <xf numFmtId="0" fontId="2" fillId="33" borderId="22" xfId="57" applyFont="1" applyFill="1" applyBorder="1" applyAlignment="1" applyProtection="1">
      <alignment horizontal="centerContinuous"/>
      <protection/>
    </xf>
    <xf numFmtId="0" fontId="2" fillId="33" borderId="23" xfId="57" applyFont="1" applyFill="1" applyBorder="1" applyAlignment="1" applyProtection="1">
      <alignment horizontal="left" wrapText="1"/>
      <protection/>
    </xf>
    <xf numFmtId="3" fontId="75" fillId="33" borderId="19" xfId="0" applyNumberFormat="1" applyFont="1" applyFill="1" applyBorder="1" applyAlignment="1" applyProtection="1">
      <alignment vertical="center" wrapText="1"/>
      <protection/>
    </xf>
    <xf numFmtId="0" fontId="27" fillId="33" borderId="10" xfId="0" applyFont="1" applyFill="1" applyBorder="1" applyAlignment="1" applyProtection="1">
      <alignment vertical="top" wrapText="1"/>
      <protection/>
    </xf>
    <xf numFmtId="0" fontId="2" fillId="33" borderId="12" xfId="57" applyFont="1" applyFill="1" applyBorder="1" applyAlignment="1" applyProtection="1">
      <alignment horizontal="left"/>
      <protection/>
    </xf>
    <xf numFmtId="0" fontId="2" fillId="33" borderId="0" xfId="57" applyFont="1" applyFill="1" applyBorder="1" applyAlignment="1" applyProtection="1">
      <alignment horizontal="left"/>
      <protection/>
    </xf>
    <xf numFmtId="0" fontId="76" fillId="33" borderId="13" xfId="0" applyFont="1" applyFill="1" applyBorder="1" applyAlignment="1" applyProtection="1">
      <alignment vertical="center" wrapText="1"/>
      <protection/>
    </xf>
    <xf numFmtId="0" fontId="2" fillId="33" borderId="12" xfId="57" applyFont="1" applyFill="1" applyBorder="1" applyAlignment="1" applyProtection="1">
      <alignment horizontal="center" vertical="center"/>
      <protection/>
    </xf>
    <xf numFmtId="0" fontId="70" fillId="33" borderId="0" xfId="0" applyFont="1" applyFill="1" applyBorder="1" applyAlignment="1" applyProtection="1">
      <alignment/>
      <protection/>
    </xf>
    <xf numFmtId="0" fontId="70" fillId="33" borderId="13" xfId="0" applyFont="1" applyFill="1" applyBorder="1" applyAlignment="1" applyProtection="1">
      <alignment/>
      <protection/>
    </xf>
    <xf numFmtId="0" fontId="70" fillId="33" borderId="0" xfId="0" applyFont="1" applyFill="1" applyAlignment="1" applyProtection="1">
      <alignment/>
      <protection/>
    </xf>
    <xf numFmtId="0" fontId="3" fillId="33" borderId="0" xfId="57" applyFont="1" applyFill="1" applyBorder="1" applyAlignment="1" applyProtection="1">
      <alignment horizontal="center" vertical="center"/>
      <protection/>
    </xf>
    <xf numFmtId="0" fontId="2" fillId="33" borderId="23" xfId="57" applyFont="1" applyFill="1" applyBorder="1" applyAlignment="1" applyProtection="1">
      <alignment horizontal="left" wrapText="1" indent="1"/>
      <protection/>
    </xf>
    <xf numFmtId="0" fontId="70" fillId="34" borderId="24" xfId="0" applyFont="1" applyFill="1" applyBorder="1" applyAlignment="1" applyProtection="1">
      <alignment horizontal="center" vertical="center" wrapText="1"/>
      <protection/>
    </xf>
    <xf numFmtId="0" fontId="71" fillId="33" borderId="12" xfId="0" applyFont="1" applyFill="1" applyBorder="1" applyAlignment="1" applyProtection="1">
      <alignment horizontal="justify" vertical="center" wrapText="1"/>
      <protection/>
    </xf>
    <xf numFmtId="0" fontId="71" fillId="33" borderId="13" xfId="0" applyFont="1" applyFill="1" applyBorder="1" applyAlignment="1" applyProtection="1">
      <alignment horizontal="justify" vertical="center" wrapText="1"/>
      <protection/>
    </xf>
    <xf numFmtId="0" fontId="71" fillId="33" borderId="19" xfId="0" applyFont="1" applyFill="1" applyBorder="1" applyAlignment="1" applyProtection="1">
      <alignment horizontal="justify" vertical="center" wrapText="1"/>
      <protection/>
    </xf>
    <xf numFmtId="0" fontId="71" fillId="33" borderId="14" xfId="0" applyFont="1" applyFill="1" applyBorder="1" applyAlignment="1" applyProtection="1">
      <alignment horizontal="justify" vertical="top" wrapText="1"/>
      <protection/>
    </xf>
    <xf numFmtId="0" fontId="71" fillId="33" borderId="15" xfId="0" applyFont="1" applyFill="1" applyBorder="1" applyAlignment="1" applyProtection="1">
      <alignment horizontal="justify" vertical="top" wrapText="1"/>
      <protection/>
    </xf>
    <xf numFmtId="0" fontId="71" fillId="33" borderId="20" xfId="0" applyFont="1" applyFill="1" applyBorder="1" applyAlignment="1" applyProtection="1">
      <alignment horizontal="justify" vertical="top" wrapText="1"/>
      <protection/>
    </xf>
    <xf numFmtId="0" fontId="70" fillId="33" borderId="14" xfId="0" applyFont="1" applyFill="1" applyBorder="1" applyAlignment="1" applyProtection="1">
      <alignment horizontal="justify" vertical="top" wrapText="1"/>
      <protection/>
    </xf>
    <xf numFmtId="0" fontId="70" fillId="33" borderId="15" xfId="0" applyFont="1" applyFill="1" applyBorder="1" applyAlignment="1" applyProtection="1">
      <alignment horizontal="justify" vertical="top" wrapText="1"/>
      <protection/>
    </xf>
    <xf numFmtId="3" fontId="70" fillId="33" borderId="20" xfId="0" applyNumberFormat="1" applyFont="1" applyFill="1" applyBorder="1" applyAlignment="1" applyProtection="1">
      <alignment horizontal="right" vertical="top" wrapText="1"/>
      <protection/>
    </xf>
    <xf numFmtId="0" fontId="71" fillId="33" borderId="16" xfId="0" applyFont="1" applyFill="1" applyBorder="1" applyAlignment="1" applyProtection="1">
      <alignment horizontal="justify" vertical="center" wrapText="1"/>
      <protection/>
    </xf>
    <xf numFmtId="0" fontId="71" fillId="33" borderId="17" xfId="0" applyFont="1" applyFill="1" applyBorder="1" applyAlignment="1" applyProtection="1">
      <alignment horizontal="justify" vertical="center" wrapText="1"/>
      <protection/>
    </xf>
    <xf numFmtId="0" fontId="71" fillId="33" borderId="18" xfId="0" applyFont="1" applyFill="1" applyBorder="1" applyAlignment="1" applyProtection="1">
      <alignment horizontal="justify" vertical="center" wrapText="1"/>
      <protection/>
    </xf>
    <xf numFmtId="0" fontId="70" fillId="33" borderId="12" xfId="0" applyFont="1" applyFill="1" applyBorder="1" applyAlignment="1" applyProtection="1">
      <alignment horizontal="justify" vertical="center" wrapText="1"/>
      <protection/>
    </xf>
    <xf numFmtId="0" fontId="70" fillId="33" borderId="14" xfId="0" applyFont="1" applyFill="1" applyBorder="1" applyAlignment="1" applyProtection="1">
      <alignment horizontal="justify" vertical="center" wrapText="1"/>
      <protection/>
    </xf>
    <xf numFmtId="0" fontId="70" fillId="33" borderId="15" xfId="0" applyFont="1" applyFill="1" applyBorder="1" applyAlignment="1" applyProtection="1">
      <alignment horizontal="justify" vertical="center" wrapText="1"/>
      <protection/>
    </xf>
    <xf numFmtId="0" fontId="71" fillId="0" borderId="0" xfId="0" applyFont="1" applyAlignment="1" applyProtection="1">
      <alignment/>
      <protection/>
    </xf>
    <xf numFmtId="0" fontId="77" fillId="0" borderId="0" xfId="0" applyFont="1" applyAlignment="1" applyProtection="1">
      <alignment/>
      <protection/>
    </xf>
    <xf numFmtId="0" fontId="76" fillId="33" borderId="12" xfId="0" applyFont="1" applyFill="1" applyBorder="1" applyAlignment="1" applyProtection="1">
      <alignment horizontal="center" vertical="center" wrapText="1"/>
      <protection/>
    </xf>
    <xf numFmtId="0" fontId="76" fillId="33" borderId="0" xfId="0" applyFont="1" applyFill="1" applyBorder="1" applyAlignment="1" applyProtection="1">
      <alignment vertical="center" wrapText="1"/>
      <protection/>
    </xf>
    <xf numFmtId="0" fontId="70" fillId="33" borderId="21" xfId="0" applyFont="1" applyFill="1" applyBorder="1" applyAlignment="1" applyProtection="1">
      <alignment horizontal="justify" vertical="center" wrapText="1"/>
      <protection/>
    </xf>
    <xf numFmtId="0" fontId="70" fillId="33" borderId="23" xfId="0" applyFont="1" applyFill="1" applyBorder="1" applyAlignment="1" applyProtection="1">
      <alignment horizontal="justify" vertical="center" wrapText="1"/>
      <protection/>
    </xf>
    <xf numFmtId="0" fontId="71" fillId="33" borderId="16" xfId="0" applyFont="1" applyFill="1" applyBorder="1" applyAlignment="1" applyProtection="1">
      <alignment horizontal="left" vertical="center" wrapText="1"/>
      <protection/>
    </xf>
    <xf numFmtId="0" fontId="71" fillId="0" borderId="0" xfId="0" applyFont="1" applyAlignment="1" applyProtection="1">
      <alignment vertical="top"/>
      <protection/>
    </xf>
    <xf numFmtId="0" fontId="71" fillId="33" borderId="12" xfId="0" applyFont="1" applyFill="1" applyBorder="1" applyAlignment="1" applyProtection="1">
      <alignment horizontal="left" vertical="top"/>
      <protection/>
    </xf>
    <xf numFmtId="0" fontId="71" fillId="33" borderId="13" xfId="0" applyFont="1" applyFill="1" applyBorder="1" applyAlignment="1" applyProtection="1">
      <alignment horizontal="justify" vertical="top"/>
      <protection/>
    </xf>
    <xf numFmtId="0" fontId="70" fillId="33" borderId="0" xfId="0" applyFont="1" applyFill="1" applyAlignment="1" applyProtection="1">
      <alignment vertical="top"/>
      <protection/>
    </xf>
    <xf numFmtId="0" fontId="70" fillId="0" borderId="0" xfId="0" applyFont="1" applyAlignment="1" applyProtection="1">
      <alignment vertical="top"/>
      <protection/>
    </xf>
    <xf numFmtId="0" fontId="71" fillId="33" borderId="14" xfId="0" applyFont="1" applyFill="1" applyBorder="1" applyAlignment="1" applyProtection="1">
      <alignment horizontal="left" vertical="top"/>
      <protection/>
    </xf>
    <xf numFmtId="0" fontId="71" fillId="33" borderId="15" xfId="0" applyFont="1" applyFill="1" applyBorder="1" applyAlignment="1" applyProtection="1">
      <alignment vertical="top"/>
      <protection/>
    </xf>
    <xf numFmtId="0" fontId="70" fillId="33" borderId="14" xfId="0" applyFont="1" applyFill="1" applyBorder="1" applyAlignment="1" applyProtection="1">
      <alignment horizontal="left" vertical="top"/>
      <protection/>
    </xf>
    <xf numFmtId="0" fontId="70" fillId="33" borderId="15" xfId="0" applyFont="1" applyFill="1" applyBorder="1" applyAlignment="1" applyProtection="1">
      <alignment vertical="top"/>
      <protection/>
    </xf>
    <xf numFmtId="0" fontId="71" fillId="0" borderId="0" xfId="0" applyFont="1" applyAlignment="1" applyProtection="1">
      <alignment horizontal="left"/>
      <protection/>
    </xf>
    <xf numFmtId="0" fontId="70" fillId="33" borderId="13" xfId="0" applyFont="1" applyFill="1" applyBorder="1" applyAlignment="1" applyProtection="1">
      <alignment vertical="top" wrapText="1"/>
      <protection/>
    </xf>
    <xf numFmtId="0" fontId="70" fillId="33" borderId="12" xfId="0" applyFont="1" applyFill="1" applyBorder="1" applyAlignment="1" applyProtection="1">
      <alignment vertical="top" wrapText="1"/>
      <protection/>
    </xf>
    <xf numFmtId="0" fontId="73" fillId="0" borderId="0" xfId="0" applyFont="1" applyFill="1" applyAlignment="1" applyProtection="1">
      <alignment/>
      <protection/>
    </xf>
    <xf numFmtId="0" fontId="71" fillId="33" borderId="0" xfId="0" applyFont="1" applyFill="1" applyBorder="1" applyAlignment="1" applyProtection="1">
      <alignment horizontal="justify" vertical="center" wrapText="1"/>
      <protection/>
    </xf>
    <xf numFmtId="0" fontId="71" fillId="33" borderId="14" xfId="0" applyFont="1" applyFill="1" applyBorder="1" applyAlignment="1" applyProtection="1">
      <alignment horizontal="justify" vertical="center" wrapText="1"/>
      <protection/>
    </xf>
    <xf numFmtId="0" fontId="71" fillId="33" borderId="11" xfId="0" applyFont="1" applyFill="1" applyBorder="1" applyAlignment="1" applyProtection="1">
      <alignment horizontal="justify" vertical="center" wrapText="1"/>
      <protection/>
    </xf>
    <xf numFmtId="0" fontId="71" fillId="33" borderId="15" xfId="0" applyFont="1" applyFill="1" applyBorder="1" applyAlignment="1" applyProtection="1">
      <alignment horizontal="justify" vertical="center" wrapText="1"/>
      <protection/>
    </xf>
    <xf numFmtId="0" fontId="70" fillId="33" borderId="25" xfId="0" applyFont="1" applyFill="1" applyBorder="1" applyAlignment="1" applyProtection="1">
      <alignment horizontal="justify" vertical="center" wrapText="1"/>
      <protection/>
    </xf>
    <xf numFmtId="0" fontId="70" fillId="33" borderId="25" xfId="0" applyFont="1" applyFill="1" applyBorder="1" applyAlignment="1" applyProtection="1">
      <alignment horizontal="left" vertical="center" wrapText="1"/>
      <protection/>
    </xf>
    <xf numFmtId="0" fontId="78" fillId="33" borderId="0" xfId="0" applyFont="1" applyFill="1" applyAlignment="1" applyProtection="1">
      <alignment/>
      <protection/>
    </xf>
    <xf numFmtId="0" fontId="27" fillId="16" borderId="21" xfId="0" applyFont="1" applyFill="1" applyBorder="1" applyAlignment="1" applyProtection="1">
      <alignment horizontal="center" vertical="center"/>
      <protection/>
    </xf>
    <xf numFmtId="166" fontId="25" fillId="16" borderId="22" xfId="50" applyNumberFormat="1" applyFont="1" applyFill="1" applyBorder="1" applyAlignment="1" applyProtection="1">
      <alignment horizontal="center" vertical="center"/>
      <protection/>
    </xf>
    <xf numFmtId="0" fontId="25" fillId="16" borderId="22" xfId="56" applyFont="1" applyFill="1" applyBorder="1" applyAlignment="1" applyProtection="1">
      <alignment horizontal="center" vertical="center"/>
      <protection/>
    </xf>
    <xf numFmtId="0" fontId="25" fillId="16" borderId="23" xfId="56" applyFont="1" applyFill="1" applyBorder="1" applyAlignment="1" applyProtection="1">
      <alignment horizontal="center" vertical="center"/>
      <protection/>
    </xf>
    <xf numFmtId="0" fontId="25" fillId="16" borderId="10" xfId="0" applyFont="1" applyFill="1" applyBorder="1" applyAlignment="1" applyProtection="1">
      <alignment horizontal="centerContinuous"/>
      <protection/>
    </xf>
    <xf numFmtId="0" fontId="27" fillId="16" borderId="17" xfId="0" applyFont="1" applyFill="1" applyBorder="1" applyAlignment="1" applyProtection="1">
      <alignment/>
      <protection/>
    </xf>
    <xf numFmtId="166" fontId="25" fillId="16" borderId="0" xfId="50" applyNumberFormat="1" applyFont="1" applyFill="1" applyBorder="1" applyAlignment="1" applyProtection="1">
      <alignment horizontal="center"/>
      <protection/>
    </xf>
    <xf numFmtId="0" fontId="27" fillId="16" borderId="13" xfId="0" applyFont="1" applyFill="1" applyBorder="1" applyAlignment="1" applyProtection="1">
      <alignment/>
      <protection/>
    </xf>
    <xf numFmtId="0" fontId="70" fillId="0" borderId="0" xfId="0" applyFont="1" applyFill="1" applyBorder="1" applyAlignment="1" applyProtection="1">
      <alignment/>
      <protection/>
    </xf>
    <xf numFmtId="0" fontId="69" fillId="33" borderId="0" xfId="0" applyFont="1" applyFill="1" applyAlignment="1" applyProtection="1">
      <alignment/>
      <protection/>
    </xf>
    <xf numFmtId="0" fontId="79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>
      <alignment/>
    </xf>
    <xf numFmtId="0" fontId="27" fillId="0" borderId="0" xfId="0" applyFont="1" applyFill="1" applyAlignment="1" applyProtection="1">
      <alignment/>
      <protection/>
    </xf>
    <xf numFmtId="0" fontId="80" fillId="33" borderId="0" xfId="0" applyFont="1" applyFill="1" applyAlignment="1" applyProtection="1">
      <alignment/>
      <protection/>
    </xf>
    <xf numFmtId="0" fontId="80" fillId="33" borderId="0" xfId="0" applyFont="1" applyFill="1" applyAlignment="1" applyProtection="1">
      <alignment horizontal="left" indent="5"/>
      <protection/>
    </xf>
    <xf numFmtId="0" fontId="35" fillId="33" borderId="0" xfId="47" applyFont="1" applyFill="1" applyAlignment="1" applyProtection="1">
      <alignment horizontal="left" indent="5"/>
      <protection/>
    </xf>
    <xf numFmtId="0" fontId="25" fillId="0" borderId="0" xfId="0" applyFont="1" applyFill="1" applyAlignment="1" applyProtection="1">
      <alignment horizontal="right" indent="1"/>
      <protection/>
    </xf>
    <xf numFmtId="4" fontId="71" fillId="4" borderId="0" xfId="50" applyNumberFormat="1" applyFont="1" applyFill="1" applyBorder="1" applyAlignment="1" applyProtection="1">
      <alignment/>
      <protection locked="0"/>
    </xf>
    <xf numFmtId="0" fontId="2" fillId="16" borderId="24" xfId="0" applyFont="1" applyFill="1" applyBorder="1" applyAlignment="1" applyProtection="1">
      <alignment horizontal="center" vertical="center" wrapText="1"/>
      <protection/>
    </xf>
    <xf numFmtId="4" fontId="71" fillId="4" borderId="13" xfId="50" applyNumberFormat="1" applyFont="1" applyFill="1" applyBorder="1" applyAlignment="1" applyProtection="1">
      <alignment/>
      <protection locked="0"/>
    </xf>
    <xf numFmtId="4" fontId="71" fillId="4" borderId="11" xfId="50" applyNumberFormat="1" applyFont="1" applyFill="1" applyBorder="1" applyAlignment="1" applyProtection="1">
      <alignment/>
      <protection locked="0"/>
    </xf>
    <xf numFmtId="4" fontId="71" fillId="4" borderId="15" xfId="50" applyNumberFormat="1" applyFont="1" applyFill="1" applyBorder="1" applyAlignment="1" applyProtection="1">
      <alignment/>
      <protection locked="0"/>
    </xf>
    <xf numFmtId="0" fontId="71" fillId="0" borderId="12" xfId="0" applyFont="1" applyBorder="1" applyAlignment="1" applyProtection="1">
      <alignment horizontal="center"/>
      <protection/>
    </xf>
    <xf numFmtId="0" fontId="71" fillId="0" borderId="0" xfId="0" applyFont="1" applyBorder="1" applyAlignment="1" applyProtection="1">
      <alignment/>
      <protection/>
    </xf>
    <xf numFmtId="0" fontId="71" fillId="0" borderId="14" xfId="0" applyFont="1" applyBorder="1" applyAlignment="1" applyProtection="1">
      <alignment horizontal="center"/>
      <protection/>
    </xf>
    <xf numFmtId="37" fontId="70" fillId="16" borderId="24" xfId="57" applyNumberFormat="1" applyFont="1" applyFill="1" applyBorder="1" applyAlignment="1" applyProtection="1">
      <alignment horizontal="center" wrapText="1"/>
      <protection/>
    </xf>
    <xf numFmtId="0" fontId="27" fillId="33" borderId="0" xfId="0" applyFont="1" applyFill="1" applyBorder="1" applyAlignment="1" applyProtection="1">
      <alignment horizontal="left" vertical="top" wrapText="1"/>
      <protection/>
    </xf>
    <xf numFmtId="0" fontId="70" fillId="0" borderId="0" xfId="0" applyFont="1" applyFill="1" applyBorder="1" applyAlignment="1" applyProtection="1">
      <alignment horizontal="right"/>
      <protection/>
    </xf>
    <xf numFmtId="0" fontId="36" fillId="33" borderId="0" xfId="47" applyFont="1" applyFill="1" applyAlignment="1" applyProtection="1">
      <alignment horizontal="left" indent="5"/>
      <protection/>
    </xf>
    <xf numFmtId="0" fontId="71" fillId="33" borderId="0" xfId="0" applyFont="1" applyFill="1" applyAlignment="1">
      <alignment/>
    </xf>
    <xf numFmtId="0" fontId="71" fillId="33" borderId="0" xfId="0" applyFont="1" applyFill="1" applyBorder="1" applyAlignment="1">
      <alignment/>
    </xf>
    <xf numFmtId="0" fontId="71" fillId="0" borderId="0" xfId="0" applyFont="1" applyAlignment="1">
      <alignment/>
    </xf>
    <xf numFmtId="0" fontId="70" fillId="33" borderId="0" xfId="0" applyFont="1" applyFill="1" applyBorder="1" applyAlignment="1">
      <alignment/>
    </xf>
    <xf numFmtId="0" fontId="71" fillId="33" borderId="12" xfId="0" applyFont="1" applyFill="1" applyBorder="1" applyAlignment="1">
      <alignment/>
    </xf>
    <xf numFmtId="0" fontId="70" fillId="33" borderId="12" xfId="0" applyFont="1" applyFill="1" applyBorder="1" applyAlignment="1">
      <alignment vertical="center"/>
    </xf>
    <xf numFmtId="170" fontId="71" fillId="33" borderId="0" xfId="0" applyNumberFormat="1" applyFont="1" applyFill="1" applyBorder="1" applyAlignment="1">
      <alignment/>
    </xf>
    <xf numFmtId="0" fontId="71" fillId="0" borderId="0" xfId="0" applyFont="1" applyFill="1" applyAlignment="1">
      <alignment/>
    </xf>
    <xf numFmtId="0" fontId="70" fillId="33" borderId="12" xfId="0" applyFont="1" applyFill="1" applyBorder="1" applyAlignment="1">
      <alignment wrapText="1"/>
    </xf>
    <xf numFmtId="0" fontId="71" fillId="33" borderId="12" xfId="0" applyFont="1" applyFill="1" applyBorder="1" applyAlignment="1">
      <alignment vertical="center"/>
    </xf>
    <xf numFmtId="0" fontId="71" fillId="33" borderId="0" xfId="0" applyFont="1" applyFill="1" applyAlignment="1">
      <alignment vertical="center"/>
    </xf>
    <xf numFmtId="0" fontId="71" fillId="0" borderId="0" xfId="0" applyFont="1" applyAlignment="1">
      <alignment vertical="center"/>
    </xf>
    <xf numFmtId="0" fontId="71" fillId="33" borderId="14" xfId="0" applyFont="1" applyFill="1" applyBorder="1" applyAlignment="1">
      <alignment vertical="center"/>
    </xf>
    <xf numFmtId="0" fontId="71" fillId="33" borderId="0" xfId="0" applyFont="1" applyFill="1" applyBorder="1" applyAlignment="1">
      <alignment vertical="center"/>
    </xf>
    <xf numFmtId="0" fontId="71" fillId="33" borderId="0" xfId="0" applyFont="1" applyFill="1" applyBorder="1" applyAlignment="1">
      <alignment wrapText="1"/>
    </xf>
    <xf numFmtId="0" fontId="70" fillId="16" borderId="24" xfId="0" applyFont="1" applyFill="1" applyBorder="1" applyAlignment="1">
      <alignment horizontal="center" vertical="center" wrapText="1"/>
    </xf>
    <xf numFmtId="0" fontId="71" fillId="33" borderId="16" xfId="0" applyFont="1" applyFill="1" applyBorder="1" applyAlignment="1">
      <alignment/>
    </xf>
    <xf numFmtId="3" fontId="71" fillId="33" borderId="16" xfId="0" applyNumberFormat="1" applyFont="1" applyFill="1" applyBorder="1" applyAlignment="1">
      <alignment/>
    </xf>
    <xf numFmtId="3" fontId="71" fillId="33" borderId="18" xfId="0" applyNumberFormat="1" applyFont="1" applyFill="1" applyBorder="1" applyAlignment="1">
      <alignment/>
    </xf>
    <xf numFmtId="3" fontId="71" fillId="33" borderId="17" xfId="0" applyNumberFormat="1" applyFont="1" applyFill="1" applyBorder="1" applyAlignment="1">
      <alignment/>
    </xf>
    <xf numFmtId="3" fontId="71" fillId="33" borderId="12" xfId="0" applyNumberFormat="1" applyFont="1" applyFill="1" applyBorder="1" applyAlignment="1">
      <alignment/>
    </xf>
    <xf numFmtId="3" fontId="71" fillId="33" borderId="19" xfId="0" applyNumberFormat="1" applyFont="1" applyFill="1" applyBorder="1" applyAlignment="1">
      <alignment wrapText="1"/>
    </xf>
    <xf numFmtId="3" fontId="71" fillId="33" borderId="0" xfId="0" applyNumberFormat="1" applyFont="1" applyFill="1" applyBorder="1" applyAlignment="1">
      <alignment wrapText="1"/>
    </xf>
    <xf numFmtId="3" fontId="71" fillId="33" borderId="12" xfId="0" applyNumberFormat="1" applyFont="1" applyFill="1" applyBorder="1" applyAlignment="1">
      <alignment wrapText="1"/>
    </xf>
    <xf numFmtId="3" fontId="71" fillId="33" borderId="13" xfId="0" applyNumberFormat="1" applyFont="1" applyFill="1" applyBorder="1" applyAlignment="1">
      <alignment/>
    </xf>
    <xf numFmtId="3" fontId="70" fillId="33" borderId="12" xfId="0" applyNumberFormat="1" applyFont="1" applyFill="1" applyBorder="1" applyAlignment="1">
      <alignment wrapText="1"/>
    </xf>
    <xf numFmtId="3" fontId="70" fillId="33" borderId="19" xfId="0" applyNumberFormat="1" applyFont="1" applyFill="1" applyBorder="1" applyAlignment="1">
      <alignment wrapText="1"/>
    </xf>
    <xf numFmtId="3" fontId="70" fillId="33" borderId="0" xfId="0" applyNumberFormat="1" applyFont="1" applyFill="1" applyBorder="1" applyAlignment="1">
      <alignment wrapText="1"/>
    </xf>
    <xf numFmtId="3" fontId="70" fillId="33" borderId="13" xfId="0" applyNumberFormat="1" applyFont="1" applyFill="1" applyBorder="1" applyAlignment="1">
      <alignment wrapText="1"/>
    </xf>
    <xf numFmtId="3" fontId="71" fillId="4" borderId="12" xfId="0" applyNumberFormat="1" applyFont="1" applyFill="1" applyBorder="1" applyAlignment="1">
      <alignment/>
    </xf>
    <xf numFmtId="3" fontId="71" fillId="4" borderId="19" xfId="0" applyNumberFormat="1" applyFont="1" applyFill="1" applyBorder="1" applyAlignment="1">
      <alignment/>
    </xf>
    <xf numFmtId="3" fontId="71" fillId="33" borderId="19" xfId="0" applyNumberFormat="1" applyFont="1" applyFill="1" applyBorder="1" applyAlignment="1">
      <alignment/>
    </xf>
    <xf numFmtId="3" fontId="71" fillId="33" borderId="0" xfId="0" applyNumberFormat="1" applyFont="1" applyFill="1" applyBorder="1" applyAlignment="1">
      <alignment/>
    </xf>
    <xf numFmtId="0" fontId="71" fillId="33" borderId="12" xfId="0" applyFont="1" applyFill="1" applyBorder="1" applyAlignment="1">
      <alignment wrapText="1"/>
    </xf>
    <xf numFmtId="3" fontId="71" fillId="33" borderId="13" xfId="0" applyNumberFormat="1" applyFont="1" applyFill="1" applyBorder="1" applyAlignment="1">
      <alignment wrapText="1"/>
    </xf>
    <xf numFmtId="0" fontId="71" fillId="33" borderId="0" xfId="0" applyFont="1" applyFill="1" applyBorder="1" applyAlignment="1">
      <alignment horizontal="center"/>
    </xf>
    <xf numFmtId="0" fontId="70" fillId="33" borderId="12" xfId="0" applyFont="1" applyFill="1" applyBorder="1" applyAlignment="1">
      <alignment/>
    </xf>
    <xf numFmtId="0" fontId="71" fillId="33" borderId="14" xfId="0" applyFont="1" applyFill="1" applyBorder="1" applyAlignment="1">
      <alignment/>
    </xf>
    <xf numFmtId="0" fontId="71" fillId="33" borderId="12" xfId="0" applyFont="1" applyFill="1" applyBorder="1" applyAlignment="1">
      <alignment/>
    </xf>
    <xf numFmtId="0" fontId="71" fillId="33" borderId="11" xfId="0" applyFont="1" applyFill="1" applyBorder="1" applyAlignment="1">
      <alignment/>
    </xf>
    <xf numFmtId="0" fontId="71" fillId="33" borderId="15" xfId="0" applyFont="1" applyFill="1" applyBorder="1" applyAlignment="1">
      <alignment/>
    </xf>
    <xf numFmtId="0" fontId="70" fillId="33" borderId="0" xfId="0" applyFont="1" applyFill="1" applyBorder="1" applyAlignment="1">
      <alignment horizontal="center"/>
    </xf>
    <xf numFmtId="3" fontId="71" fillId="33" borderId="14" xfId="0" applyNumberFormat="1" applyFont="1" applyFill="1" applyBorder="1" applyAlignment="1">
      <alignment/>
    </xf>
    <xf numFmtId="3" fontId="71" fillId="33" borderId="11" xfId="0" applyNumberFormat="1" applyFont="1" applyFill="1" applyBorder="1" applyAlignment="1">
      <alignment/>
    </xf>
    <xf numFmtId="3" fontId="70" fillId="16" borderId="21" xfId="0" applyNumberFormat="1" applyFont="1" applyFill="1" applyBorder="1" applyAlignment="1">
      <alignment horizontal="center" vertical="center" wrapText="1"/>
    </xf>
    <xf numFmtId="3" fontId="70" fillId="16" borderId="22" xfId="0" applyNumberFormat="1" applyFont="1" applyFill="1" applyBorder="1" applyAlignment="1">
      <alignment horizontal="center" vertical="center" wrapText="1"/>
    </xf>
    <xf numFmtId="3" fontId="70" fillId="33" borderId="0" xfId="0" applyNumberFormat="1" applyFont="1" applyFill="1" applyBorder="1" applyAlignment="1">
      <alignment/>
    </xf>
    <xf numFmtId="3" fontId="71" fillId="4" borderId="13" xfId="0" applyNumberFormat="1" applyFont="1" applyFill="1" applyBorder="1" applyAlignment="1">
      <alignment/>
    </xf>
    <xf numFmtId="3" fontId="71" fillId="4" borderId="13" xfId="0" applyNumberFormat="1" applyFont="1" applyFill="1" applyBorder="1" applyAlignment="1">
      <alignment wrapText="1"/>
    </xf>
    <xf numFmtId="3" fontId="71" fillId="4" borderId="12" xfId="0" applyNumberFormat="1" applyFont="1" applyFill="1" applyBorder="1" applyAlignment="1">
      <alignment wrapText="1"/>
    </xf>
    <xf numFmtId="0" fontId="70" fillId="16" borderId="18" xfId="0" applyFont="1" applyFill="1" applyBorder="1" applyAlignment="1">
      <alignment horizontal="center" vertical="center" wrapText="1"/>
    </xf>
    <xf numFmtId="3" fontId="71" fillId="4" borderId="19" xfId="0" applyNumberFormat="1" applyFont="1" applyFill="1" applyBorder="1" applyAlignment="1">
      <alignment wrapText="1"/>
    </xf>
    <xf numFmtId="0" fontId="71" fillId="33" borderId="20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3" fontId="71" fillId="33" borderId="12" xfId="0" applyNumberFormat="1" applyFont="1" applyFill="1" applyBorder="1" applyAlignment="1">
      <alignment vertical="center" wrapText="1"/>
    </xf>
    <xf numFmtId="3" fontId="70" fillId="33" borderId="20" xfId="0" applyNumberFormat="1" applyFont="1" applyFill="1" applyBorder="1" applyAlignment="1">
      <alignment vertical="center"/>
    </xf>
    <xf numFmtId="3" fontId="70" fillId="33" borderId="12" xfId="0" applyNumberFormat="1" applyFont="1" applyFill="1" applyBorder="1" applyAlignment="1">
      <alignment vertical="center"/>
    </xf>
    <xf numFmtId="3" fontId="71" fillId="33" borderId="12" xfId="0" applyNumberFormat="1" applyFont="1" applyFill="1" applyBorder="1" applyAlignment="1">
      <alignment vertical="center"/>
    </xf>
    <xf numFmtId="3" fontId="71" fillId="33" borderId="0" xfId="0" applyNumberFormat="1" applyFont="1" applyFill="1" applyBorder="1" applyAlignment="1">
      <alignment vertical="center"/>
    </xf>
    <xf numFmtId="3" fontId="71" fillId="33" borderId="0" xfId="0" applyNumberFormat="1" applyFont="1" applyFill="1" applyBorder="1" applyAlignment="1">
      <alignment vertical="center" wrapText="1"/>
    </xf>
    <xf numFmtId="0" fontId="71" fillId="33" borderId="0" xfId="0" applyFont="1" applyFill="1" applyBorder="1" applyAlignment="1">
      <alignment vertical="center" wrapText="1"/>
    </xf>
    <xf numFmtId="0" fontId="70" fillId="33" borderId="0" xfId="0" applyFont="1" applyFill="1" applyBorder="1" applyAlignment="1">
      <alignment/>
    </xf>
    <xf numFmtId="3" fontId="70" fillId="33" borderId="14" xfId="0" applyNumberFormat="1" applyFont="1" applyFill="1" applyBorder="1" applyAlignment="1">
      <alignment vertical="center"/>
    </xf>
    <xf numFmtId="3" fontId="70" fillId="33" borderId="0" xfId="0" applyNumberFormat="1" applyFont="1" applyFill="1" applyBorder="1" applyAlignment="1">
      <alignment vertical="center"/>
    </xf>
    <xf numFmtId="0" fontId="70" fillId="33" borderId="0" xfId="0" applyFont="1" applyFill="1" applyBorder="1" applyAlignment="1">
      <alignment wrapText="1"/>
    </xf>
    <xf numFmtId="0" fontId="71" fillId="33" borderId="11" xfId="0" applyFont="1" applyFill="1" applyBorder="1" applyAlignment="1">
      <alignment vertical="center"/>
    </xf>
    <xf numFmtId="3" fontId="70" fillId="33" borderId="16" xfId="0" applyNumberFormat="1" applyFont="1" applyFill="1" applyBorder="1" applyAlignment="1">
      <alignment/>
    </xf>
    <xf numFmtId="3" fontId="70" fillId="33" borderId="10" xfId="0" applyNumberFormat="1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70" fillId="0" borderId="12" xfId="0" applyFont="1" applyFill="1" applyBorder="1" applyAlignment="1">
      <alignment/>
    </xf>
    <xf numFmtId="0" fontId="71" fillId="33" borderId="0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0" fontId="70" fillId="33" borderId="11" xfId="0" applyFont="1" applyFill="1" applyBorder="1" applyAlignment="1" applyProtection="1">
      <alignment/>
      <protection/>
    </xf>
    <xf numFmtId="0" fontId="70" fillId="33" borderId="0" xfId="0" applyFont="1" applyFill="1" applyBorder="1" applyAlignment="1" applyProtection="1">
      <alignment/>
      <protection/>
    </xf>
    <xf numFmtId="171" fontId="70" fillId="33" borderId="0" xfId="0" applyNumberFormat="1" applyFont="1" applyFill="1" applyBorder="1" applyAlignment="1">
      <alignment/>
    </xf>
    <xf numFmtId="0" fontId="71" fillId="33" borderId="0" xfId="0" applyFont="1" applyFill="1" applyAlignment="1">
      <alignment horizontal="left"/>
    </xf>
    <xf numFmtId="0" fontId="71" fillId="0" borderId="0" xfId="0" applyFont="1" applyAlignment="1">
      <alignment horizontal="left"/>
    </xf>
    <xf numFmtId="0" fontId="71" fillId="33" borderId="0" xfId="0" applyFont="1" applyFill="1" applyBorder="1" applyAlignment="1">
      <alignment horizontal="left"/>
    </xf>
    <xf numFmtId="171" fontId="70" fillId="33" borderId="0" xfId="0" applyNumberFormat="1" applyFont="1" applyFill="1" applyBorder="1" applyAlignment="1">
      <alignment horizontal="left"/>
    </xf>
    <xf numFmtId="0" fontId="70" fillId="33" borderId="0" xfId="0" applyFont="1" applyFill="1" applyBorder="1" applyAlignment="1">
      <alignment vertical="center"/>
    </xf>
    <xf numFmtId="0" fontId="70" fillId="33" borderId="0" xfId="0" applyFont="1" applyFill="1" applyBorder="1" applyAlignment="1" applyProtection="1">
      <alignment horizontal="right"/>
      <protection/>
    </xf>
    <xf numFmtId="0" fontId="25" fillId="33" borderId="0" xfId="47" applyFont="1" applyFill="1" applyAlignment="1" applyProtection="1">
      <alignment/>
      <protection/>
    </xf>
    <xf numFmtId="0" fontId="71" fillId="0" borderId="12" xfId="0" applyFont="1" applyFill="1" applyBorder="1" applyAlignment="1" applyProtection="1">
      <alignment horizontal="center" vertical="center"/>
      <protection/>
    </xf>
    <xf numFmtId="0" fontId="71" fillId="0" borderId="12" xfId="0" applyFont="1" applyFill="1" applyBorder="1" applyAlignment="1" applyProtection="1" quotePrefix="1">
      <alignment horizontal="center" vertical="center"/>
      <protection/>
    </xf>
    <xf numFmtId="49" fontId="71" fillId="0" borderId="12" xfId="0" applyNumberFormat="1" applyFont="1" applyFill="1" applyBorder="1" applyAlignment="1" applyProtection="1" quotePrefix="1">
      <alignment horizontal="center" vertical="center"/>
      <protection/>
    </xf>
    <xf numFmtId="0" fontId="70" fillId="0" borderId="0" xfId="0" applyFont="1" applyFill="1" applyBorder="1" applyAlignment="1" applyProtection="1">
      <alignment vertical="center"/>
      <protection/>
    </xf>
    <xf numFmtId="0" fontId="70" fillId="0" borderId="0" xfId="0" applyFont="1" applyFill="1" applyBorder="1" applyAlignment="1" applyProtection="1">
      <alignment horizontal="left" vertical="center" indent="1"/>
      <protection/>
    </xf>
    <xf numFmtId="0" fontId="71" fillId="0" borderId="0" xfId="0" applyFont="1" applyFill="1" applyBorder="1" applyAlignment="1" applyProtection="1">
      <alignment horizontal="left" vertical="center" indent="1"/>
      <protection/>
    </xf>
    <xf numFmtId="0" fontId="71" fillId="0" borderId="0" xfId="0" applyFont="1" applyFill="1" applyBorder="1" applyAlignment="1" applyProtection="1">
      <alignment horizontal="left" vertical="center" wrapText="1" indent="1"/>
      <protection/>
    </xf>
    <xf numFmtId="0" fontId="71" fillId="0" borderId="0" xfId="0" applyFont="1" applyFill="1" applyBorder="1" applyAlignment="1" applyProtection="1">
      <alignment horizontal="left" vertical="center" indent="2"/>
      <protection/>
    </xf>
    <xf numFmtId="0" fontId="71" fillId="0" borderId="0" xfId="0" applyFont="1" applyFill="1" applyBorder="1" applyAlignment="1" applyProtection="1">
      <alignment horizontal="left" vertical="center" wrapText="1" indent="2"/>
      <protection/>
    </xf>
    <xf numFmtId="0" fontId="71" fillId="0" borderId="0" xfId="0" applyFont="1" applyBorder="1" applyAlignment="1" applyProtection="1">
      <alignment horizontal="left" indent="1"/>
      <protection/>
    </xf>
    <xf numFmtId="0" fontId="70" fillId="0" borderId="0" xfId="0" applyFont="1" applyBorder="1" applyAlignment="1" applyProtection="1">
      <alignment/>
      <protection/>
    </xf>
    <xf numFmtId="0" fontId="71" fillId="0" borderId="11" xfId="0" applyFont="1" applyBorder="1" applyAlignment="1" applyProtection="1">
      <alignment horizontal="left" indent="1"/>
      <protection/>
    </xf>
    <xf numFmtId="0" fontId="70" fillId="33" borderId="0" xfId="0" applyFont="1" applyFill="1" applyBorder="1" applyAlignment="1">
      <alignment horizontal="center" wrapText="1"/>
    </xf>
    <xf numFmtId="0" fontId="70" fillId="33" borderId="0" xfId="0" applyFont="1" applyFill="1" applyBorder="1" applyAlignment="1">
      <alignment horizontal="center"/>
    </xf>
    <xf numFmtId="0" fontId="70" fillId="16" borderId="21" xfId="0" applyFont="1" applyFill="1" applyBorder="1" applyAlignment="1">
      <alignment horizontal="center" vertical="center" wrapText="1"/>
    </xf>
    <xf numFmtId="0" fontId="70" fillId="16" borderId="23" xfId="0" applyFont="1" applyFill="1" applyBorder="1" applyAlignment="1">
      <alignment horizontal="center" vertical="center" wrapText="1"/>
    </xf>
    <xf numFmtId="0" fontId="70" fillId="16" borderId="24" xfId="0" applyFont="1" applyFill="1" applyBorder="1" applyAlignment="1">
      <alignment horizontal="center" vertical="center" wrapText="1"/>
    </xf>
    <xf numFmtId="0" fontId="70" fillId="33" borderId="0" xfId="0" applyFont="1" applyFill="1" applyBorder="1" applyAlignment="1">
      <alignment horizontal="center"/>
    </xf>
    <xf numFmtId="4" fontId="71" fillId="33" borderId="0" xfId="50" applyNumberFormat="1" applyFont="1" applyFill="1" applyBorder="1" applyAlignment="1" applyProtection="1">
      <alignment/>
      <protection locked="0"/>
    </xf>
    <xf numFmtId="4" fontId="71" fillId="33" borderId="13" xfId="50" applyNumberFormat="1" applyFont="1" applyFill="1" applyBorder="1" applyAlignment="1" applyProtection="1">
      <alignment/>
      <protection locked="0"/>
    </xf>
    <xf numFmtId="0" fontId="70" fillId="33" borderId="0" xfId="0" applyFont="1" applyFill="1" applyBorder="1" applyAlignment="1" applyProtection="1">
      <alignment horizontal="left" vertical="center" indent="1"/>
      <protection/>
    </xf>
    <xf numFmtId="0" fontId="70" fillId="33" borderId="0" xfId="0" applyFont="1" applyFill="1" applyBorder="1" applyAlignment="1" applyProtection="1">
      <alignment vertical="center"/>
      <protection/>
    </xf>
    <xf numFmtId="0" fontId="71" fillId="33" borderId="0" xfId="0" applyFont="1" applyFill="1" applyBorder="1" applyAlignment="1">
      <alignment horizontal="center" wrapText="1"/>
    </xf>
    <xf numFmtId="0" fontId="70" fillId="33" borderId="0" xfId="0" applyFont="1" applyFill="1" applyAlignment="1">
      <alignment/>
    </xf>
    <xf numFmtId="0" fontId="70" fillId="33" borderId="11" xfId="0" applyFont="1" applyFill="1" applyBorder="1" applyAlignment="1">
      <alignment/>
    </xf>
    <xf numFmtId="0" fontId="70" fillId="0" borderId="11" xfId="0" applyFont="1" applyBorder="1" applyAlignment="1" applyProtection="1">
      <alignment/>
      <protection/>
    </xf>
    <xf numFmtId="0" fontId="70" fillId="0" borderId="0" xfId="0" applyFont="1" applyBorder="1" applyAlignment="1" applyProtection="1">
      <alignment horizontal="center"/>
      <protection/>
    </xf>
    <xf numFmtId="0" fontId="70" fillId="0" borderId="0" xfId="0" applyFont="1" applyAlignment="1" applyProtection="1">
      <alignment horizontal="center"/>
      <protection/>
    </xf>
    <xf numFmtId="0" fontId="70" fillId="0" borderId="0" xfId="0" applyFont="1" applyAlignment="1" applyProtection="1">
      <alignment/>
      <protection/>
    </xf>
    <xf numFmtId="0" fontId="72" fillId="0" borderId="0" xfId="0" applyFont="1" applyAlignment="1" applyProtection="1">
      <alignment/>
      <protection/>
    </xf>
    <xf numFmtId="0" fontId="70" fillId="0" borderId="11" xfId="0" applyFont="1" applyBorder="1" applyAlignment="1" applyProtection="1">
      <alignment/>
      <protection/>
    </xf>
    <xf numFmtId="0" fontId="72" fillId="0" borderId="11" xfId="0" applyFont="1" applyBorder="1" applyAlignment="1" applyProtection="1">
      <alignment/>
      <protection/>
    </xf>
    <xf numFmtId="0" fontId="25" fillId="33" borderId="11" xfId="0" applyFont="1" applyFill="1" applyBorder="1" applyAlignment="1" applyProtection="1">
      <alignment horizontal="left" vertical="top" wrapText="1"/>
      <protection/>
    </xf>
    <xf numFmtId="0" fontId="25" fillId="0" borderId="0" xfId="0" applyFont="1" applyAlignment="1" applyProtection="1">
      <alignment horizontal="center"/>
      <protection/>
    </xf>
    <xf numFmtId="171" fontId="70" fillId="33" borderId="0" xfId="0" applyNumberFormat="1" applyFont="1" applyFill="1" applyAlignment="1">
      <alignment horizontal="left"/>
    </xf>
    <xf numFmtId="171" fontId="70" fillId="33" borderId="11" xfId="0" applyNumberFormat="1" applyFont="1" applyFill="1" applyBorder="1" applyAlignment="1">
      <alignment horizontal="left"/>
    </xf>
    <xf numFmtId="171" fontId="70" fillId="33" borderId="11" xfId="0" applyNumberFormat="1" applyFont="1" applyFill="1" applyBorder="1" applyAlignment="1">
      <alignment/>
    </xf>
    <xf numFmtId="171" fontId="70" fillId="33" borderId="0" xfId="0" applyNumberFormat="1" applyFont="1" applyFill="1" applyAlignment="1">
      <alignment/>
    </xf>
    <xf numFmtId="0" fontId="70" fillId="33" borderId="0" xfId="0" applyFont="1" applyFill="1" applyAlignment="1">
      <alignment horizontal="left"/>
    </xf>
    <xf numFmtId="0" fontId="70" fillId="33" borderId="11" xfId="0" applyFont="1" applyFill="1" applyBorder="1" applyAlignment="1">
      <alignment vertical="center"/>
    </xf>
    <xf numFmtId="170" fontId="70" fillId="33" borderId="11" xfId="0" applyNumberFormat="1" applyFont="1" applyFill="1" applyBorder="1" applyAlignment="1">
      <alignment/>
    </xf>
    <xf numFmtId="170" fontId="70" fillId="33" borderId="0" xfId="0" applyNumberFormat="1" applyFont="1" applyFill="1" applyBorder="1" applyAlignment="1">
      <alignment/>
    </xf>
    <xf numFmtId="0" fontId="71" fillId="33" borderId="0" xfId="0" applyFont="1" applyFill="1" applyAlignment="1">
      <alignment wrapText="1"/>
    </xf>
    <xf numFmtId="0" fontId="70" fillId="33" borderId="0" xfId="0" applyFont="1" applyFill="1" applyAlignment="1">
      <alignment wrapText="1"/>
    </xf>
    <xf numFmtId="0" fontId="70" fillId="33" borderId="11" xfId="0" applyFont="1" applyFill="1" applyBorder="1" applyAlignment="1">
      <alignment wrapText="1"/>
    </xf>
    <xf numFmtId="0" fontId="71" fillId="0" borderId="0" xfId="0" applyFont="1" applyAlignment="1">
      <alignment wrapText="1"/>
    </xf>
    <xf numFmtId="0" fontId="27" fillId="34" borderId="11" xfId="0" applyFont="1" applyFill="1" applyBorder="1" applyAlignment="1" applyProtection="1">
      <alignment horizontal="center"/>
      <protection locked="0"/>
    </xf>
    <xf numFmtId="3" fontId="76" fillId="34" borderId="19" xfId="0" applyNumberFormat="1" applyFont="1" applyFill="1" applyBorder="1" applyAlignment="1" applyProtection="1">
      <alignment vertical="center" wrapText="1"/>
      <protection locked="0"/>
    </xf>
    <xf numFmtId="3" fontId="71" fillId="33" borderId="12" xfId="0" applyNumberFormat="1" applyFont="1" applyFill="1" applyBorder="1" applyAlignment="1" applyProtection="1">
      <alignment/>
      <protection locked="0"/>
    </xf>
    <xf numFmtId="3" fontId="71" fillId="4" borderId="12" xfId="0" applyNumberFormat="1" applyFont="1" applyFill="1" applyBorder="1" applyAlignment="1" applyProtection="1">
      <alignment/>
      <protection locked="0"/>
    </xf>
    <xf numFmtId="3" fontId="71" fillId="4" borderId="19" xfId="0" applyNumberFormat="1" applyFont="1" applyFill="1" applyBorder="1" applyAlignment="1" applyProtection="1">
      <alignment/>
      <protection locked="0"/>
    </xf>
    <xf numFmtId="3" fontId="71" fillId="4" borderId="0" xfId="0" applyNumberFormat="1" applyFont="1" applyFill="1" applyBorder="1" applyAlignment="1" applyProtection="1">
      <alignment/>
      <protection locked="0"/>
    </xf>
    <xf numFmtId="3" fontId="71" fillId="33" borderId="19" xfId="0" applyNumberFormat="1" applyFont="1" applyFill="1" applyBorder="1" applyAlignment="1" applyProtection="1">
      <alignment/>
      <protection locked="0"/>
    </xf>
    <xf numFmtId="3" fontId="71" fillId="33" borderId="0" xfId="0" applyNumberFormat="1" applyFont="1" applyFill="1" applyBorder="1" applyAlignment="1" applyProtection="1">
      <alignment/>
      <protection locked="0"/>
    </xf>
    <xf numFmtId="3" fontId="71" fillId="4" borderId="13" xfId="0" applyNumberFormat="1" applyFont="1" applyFill="1" applyBorder="1" applyAlignment="1" applyProtection="1">
      <alignment/>
      <protection locked="0"/>
    </xf>
    <xf numFmtId="3" fontId="71" fillId="4" borderId="12" xfId="0" applyNumberFormat="1" applyFont="1" applyFill="1" applyBorder="1" applyAlignment="1" applyProtection="1">
      <alignment wrapText="1"/>
      <protection locked="0"/>
    </xf>
    <xf numFmtId="3" fontId="71" fillId="4" borderId="19" xfId="0" applyNumberFormat="1" applyFont="1" applyFill="1" applyBorder="1" applyAlignment="1" applyProtection="1">
      <alignment wrapText="1"/>
      <protection locked="0"/>
    </xf>
    <xf numFmtId="3" fontId="71" fillId="4" borderId="13" xfId="0" applyNumberFormat="1" applyFont="1" applyFill="1" applyBorder="1" applyAlignment="1" applyProtection="1">
      <alignment wrapText="1"/>
      <protection locked="0"/>
    </xf>
    <xf numFmtId="3" fontId="71" fillId="4" borderId="12" xfId="0" applyNumberFormat="1" applyFont="1" applyFill="1" applyBorder="1" applyAlignment="1" applyProtection="1">
      <alignment vertical="center" wrapText="1"/>
      <protection locked="0"/>
    </xf>
    <xf numFmtId="3" fontId="71" fillId="4" borderId="19" xfId="0" applyNumberFormat="1" applyFont="1" applyFill="1" applyBorder="1" applyAlignment="1" applyProtection="1">
      <alignment vertical="center" wrapText="1"/>
      <protection locked="0"/>
    </xf>
    <xf numFmtId="0" fontId="70" fillId="0" borderId="0" xfId="0" applyFont="1" applyAlignment="1" applyProtection="1">
      <alignment horizontal="center"/>
      <protection/>
    </xf>
    <xf numFmtId="0" fontId="27" fillId="33" borderId="0" xfId="0" applyFont="1" applyFill="1" applyBorder="1" applyAlignment="1" applyProtection="1">
      <alignment horizontal="left" vertical="top" wrapText="1"/>
      <protection/>
    </xf>
    <xf numFmtId="0" fontId="70" fillId="16" borderId="24" xfId="0" applyFont="1" applyFill="1" applyBorder="1" applyAlignment="1" applyProtection="1">
      <alignment horizontal="center" vertical="center" wrapText="1"/>
      <protection/>
    </xf>
    <xf numFmtId="0" fontId="71" fillId="33" borderId="13" xfId="0" applyFont="1" applyFill="1" applyBorder="1" applyAlignment="1" applyProtection="1">
      <alignment horizontal="justify" vertical="center" wrapText="1"/>
      <protection/>
    </xf>
    <xf numFmtId="0" fontId="25" fillId="33" borderId="0" xfId="0" applyFont="1" applyFill="1" applyBorder="1" applyAlignment="1" applyProtection="1">
      <alignment horizontal="left" vertical="top" wrapText="1"/>
      <protection/>
    </xf>
    <xf numFmtId="3" fontId="71" fillId="33" borderId="12" xfId="0" applyNumberFormat="1" applyFont="1" applyFill="1" applyBorder="1" applyAlignment="1">
      <alignment wrapText="1"/>
    </xf>
    <xf numFmtId="3" fontId="70" fillId="33" borderId="12" xfId="0" applyNumberFormat="1" applyFont="1" applyFill="1" applyBorder="1" applyAlignment="1">
      <alignment wrapText="1"/>
    </xf>
    <xf numFmtId="0" fontId="70" fillId="0" borderId="0" xfId="0" applyFont="1" applyAlignment="1" applyProtection="1">
      <alignment horizontal="center"/>
      <protection/>
    </xf>
    <xf numFmtId="0" fontId="27" fillId="33" borderId="0" xfId="0" applyFont="1" applyFill="1" applyBorder="1" applyAlignment="1" applyProtection="1">
      <alignment horizontal="left" vertical="top" wrapText="1"/>
      <protection/>
    </xf>
    <xf numFmtId="37" fontId="70" fillId="16" borderId="24" xfId="57" applyNumberFormat="1" applyFont="1" applyFill="1" applyBorder="1" applyAlignment="1" applyProtection="1">
      <alignment horizontal="center" vertical="center"/>
      <protection/>
    </xf>
    <xf numFmtId="0" fontId="70" fillId="0" borderId="0" xfId="0" applyFont="1" applyFill="1" applyBorder="1" applyAlignment="1" applyProtection="1">
      <alignment horizontal="center"/>
      <protection/>
    </xf>
    <xf numFmtId="0" fontId="70" fillId="0" borderId="0" xfId="0" applyFont="1" applyFill="1" applyBorder="1" applyAlignment="1" applyProtection="1">
      <alignment horizontal="right"/>
      <protection/>
    </xf>
    <xf numFmtId="0" fontId="81" fillId="33" borderId="0" xfId="0" applyFont="1" applyFill="1" applyAlignment="1" applyProtection="1">
      <alignment horizontal="left" vertical="center" wrapText="1"/>
      <protection/>
    </xf>
    <xf numFmtId="0" fontId="82" fillId="33" borderId="0" xfId="0" applyFont="1" applyFill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horizontal="center"/>
      <protection/>
    </xf>
    <xf numFmtId="0" fontId="70" fillId="16" borderId="24" xfId="0" applyFont="1" applyFill="1" applyBorder="1" applyAlignment="1" applyProtection="1">
      <alignment horizontal="center" vertical="center" wrapText="1"/>
      <protection/>
    </xf>
    <xf numFmtId="0" fontId="25" fillId="33" borderId="0" xfId="0" applyFont="1" applyFill="1" applyBorder="1" applyAlignment="1" applyProtection="1">
      <alignment horizontal="left" vertical="top" wrapText="1"/>
      <protection/>
    </xf>
    <xf numFmtId="0" fontId="39" fillId="33" borderId="0" xfId="0" applyFont="1" applyFill="1" applyBorder="1" applyAlignment="1" applyProtection="1">
      <alignment horizontal="left" vertical="top" wrapText="1"/>
      <protection/>
    </xf>
    <xf numFmtId="3" fontId="25" fillId="33" borderId="19" xfId="56" applyNumberFormat="1" applyFont="1" applyFill="1" applyBorder="1" applyAlignment="1" applyProtection="1">
      <alignment vertical="top"/>
      <protection/>
    </xf>
    <xf numFmtId="0" fontId="70" fillId="0" borderId="0" xfId="0" applyFont="1" applyAlignment="1">
      <alignment/>
    </xf>
    <xf numFmtId="0" fontId="70" fillId="33" borderId="13" xfId="0" applyFont="1" applyFill="1" applyBorder="1" applyAlignment="1" applyProtection="1">
      <alignment horizontal="justify" vertical="center" wrapText="1"/>
      <protection/>
    </xf>
    <xf numFmtId="168" fontId="70" fillId="0" borderId="0" xfId="0" applyNumberFormat="1" applyFont="1" applyFill="1" applyBorder="1" applyAlignment="1" applyProtection="1">
      <alignment horizontal="right"/>
      <protection/>
    </xf>
    <xf numFmtId="0" fontId="70" fillId="0" borderId="0" xfId="0" applyFont="1" applyFill="1" applyAlignment="1">
      <alignment/>
    </xf>
    <xf numFmtId="0" fontId="70" fillId="0" borderId="0" xfId="0" applyFont="1" applyAlignment="1">
      <alignment horizontal="left"/>
    </xf>
    <xf numFmtId="0" fontId="71" fillId="33" borderId="12" xfId="0" applyFont="1" applyFill="1" applyBorder="1" applyAlignment="1" applyProtection="1">
      <alignment horizontal="center"/>
      <protection/>
    </xf>
    <xf numFmtId="4" fontId="71" fillId="33" borderId="0" xfId="0" applyNumberFormat="1" applyFont="1" applyFill="1" applyAlignment="1" applyProtection="1">
      <alignment/>
      <protection/>
    </xf>
    <xf numFmtId="168" fontId="27" fillId="4" borderId="12" xfId="0" applyNumberFormat="1" applyFont="1" applyFill="1" applyBorder="1" applyAlignment="1" applyProtection="1">
      <alignment wrapText="1"/>
      <protection locked="0"/>
    </xf>
    <xf numFmtId="168" fontId="27" fillId="4" borderId="19" xfId="0" applyNumberFormat="1" applyFont="1" applyFill="1" applyBorder="1" applyAlignment="1" applyProtection="1">
      <alignment wrapText="1"/>
      <protection locked="0"/>
    </xf>
    <xf numFmtId="168" fontId="27" fillId="4" borderId="13" xfId="0" applyNumberFormat="1" applyFont="1" applyFill="1" applyBorder="1" applyAlignment="1" applyProtection="1">
      <alignment wrapText="1"/>
      <protection locked="0"/>
    </xf>
    <xf numFmtId="0" fontId="71" fillId="4" borderId="0" xfId="0" applyFont="1" applyFill="1" applyBorder="1" applyAlignment="1" applyProtection="1">
      <alignment/>
      <protection/>
    </xf>
    <xf numFmtId="0" fontId="70" fillId="4" borderId="0" xfId="0" applyFont="1" applyFill="1" applyBorder="1" applyAlignment="1" applyProtection="1">
      <alignment/>
      <protection/>
    </xf>
    <xf numFmtId="0" fontId="71" fillId="4" borderId="0" xfId="0" applyFont="1" applyFill="1" applyBorder="1" applyAlignment="1" applyProtection="1">
      <alignment horizontal="left" indent="1"/>
      <protection/>
    </xf>
    <xf numFmtId="0" fontId="71" fillId="4" borderId="11" xfId="0" applyFont="1" applyFill="1" applyBorder="1" applyAlignment="1" applyProtection="1">
      <alignment/>
      <protection/>
    </xf>
    <xf numFmtId="0" fontId="70" fillId="33" borderId="21" xfId="0" applyFont="1" applyFill="1" applyBorder="1" applyAlignment="1" applyProtection="1">
      <alignment horizontal="left" vertical="top"/>
      <protection/>
    </xf>
    <xf numFmtId="0" fontId="70" fillId="33" borderId="23" xfId="0" applyFont="1" applyFill="1" applyBorder="1" applyAlignment="1" applyProtection="1">
      <alignment vertical="top"/>
      <protection/>
    </xf>
    <xf numFmtId="0" fontId="70" fillId="33" borderId="26" xfId="0" applyFont="1" applyFill="1" applyBorder="1" applyAlignment="1" applyProtection="1">
      <alignment vertical="center"/>
      <protection/>
    </xf>
    <xf numFmtId="3" fontId="71" fillId="4" borderId="24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76" fillId="33" borderId="19" xfId="0" applyNumberFormat="1" applyFont="1" applyFill="1" applyBorder="1" applyAlignment="1" applyProtection="1">
      <alignment vertical="center" wrapText="1"/>
      <protection/>
    </xf>
    <xf numFmtId="168" fontId="25" fillId="33" borderId="12" xfId="0" applyNumberFormat="1" applyFont="1" applyFill="1" applyBorder="1" applyAlignment="1" applyProtection="1">
      <alignment wrapText="1"/>
      <protection/>
    </xf>
    <xf numFmtId="168" fontId="25" fillId="33" borderId="19" xfId="0" applyNumberFormat="1" applyFont="1" applyFill="1" applyBorder="1" applyAlignment="1" applyProtection="1">
      <alignment wrapText="1"/>
      <protection/>
    </xf>
    <xf numFmtId="168" fontId="25" fillId="33" borderId="13" xfId="0" applyNumberFormat="1" applyFont="1" applyFill="1" applyBorder="1" applyAlignment="1" applyProtection="1">
      <alignment wrapText="1"/>
      <protection/>
    </xf>
    <xf numFmtId="171" fontId="71" fillId="33" borderId="14" xfId="0" applyNumberFormat="1" applyFont="1" applyFill="1" applyBorder="1" applyAlignment="1" applyProtection="1">
      <alignment wrapText="1"/>
      <protection/>
    </xf>
    <xf numFmtId="171" fontId="71" fillId="33" borderId="20" xfId="0" applyNumberFormat="1" applyFont="1" applyFill="1" applyBorder="1" applyAlignment="1" applyProtection="1">
      <alignment wrapText="1"/>
      <protection/>
    </xf>
    <xf numFmtId="171" fontId="71" fillId="33" borderId="15" xfId="0" applyNumberFormat="1" applyFont="1" applyFill="1" applyBorder="1" applyAlignment="1" applyProtection="1">
      <alignment wrapText="1"/>
      <protection/>
    </xf>
    <xf numFmtId="171" fontId="71" fillId="33" borderId="12" xfId="0" applyNumberFormat="1" applyFont="1" applyFill="1" applyBorder="1" applyAlignment="1" applyProtection="1">
      <alignment wrapText="1"/>
      <protection/>
    </xf>
    <xf numFmtId="171" fontId="71" fillId="33" borderId="19" xfId="0" applyNumberFormat="1" applyFont="1" applyFill="1" applyBorder="1" applyAlignment="1" applyProtection="1">
      <alignment wrapText="1"/>
      <protection/>
    </xf>
    <xf numFmtId="171" fontId="71" fillId="33" borderId="13" xfId="0" applyNumberFormat="1" applyFont="1" applyFill="1" applyBorder="1" applyAlignment="1" applyProtection="1">
      <alignment wrapText="1"/>
      <protection/>
    </xf>
    <xf numFmtId="168" fontId="27" fillId="33" borderId="12" xfId="0" applyNumberFormat="1" applyFont="1" applyFill="1" applyBorder="1" applyAlignment="1" applyProtection="1">
      <alignment wrapText="1"/>
      <protection/>
    </xf>
    <xf numFmtId="168" fontId="27" fillId="33" borderId="19" xfId="0" applyNumberFormat="1" applyFont="1" applyFill="1" applyBorder="1" applyAlignment="1" applyProtection="1">
      <alignment wrapText="1"/>
      <protection/>
    </xf>
    <xf numFmtId="168" fontId="27" fillId="33" borderId="13" xfId="0" applyNumberFormat="1" applyFont="1" applyFill="1" applyBorder="1" applyAlignment="1" applyProtection="1">
      <alignment wrapText="1"/>
      <protection/>
    </xf>
    <xf numFmtId="168" fontId="27" fillId="33" borderId="12" xfId="0" applyNumberFormat="1" applyFont="1" applyFill="1" applyBorder="1" applyAlignment="1" applyProtection="1">
      <alignment vertical="center" wrapText="1"/>
      <protection/>
    </xf>
    <xf numFmtId="168" fontId="27" fillId="33" borderId="19" xfId="0" applyNumberFormat="1" applyFont="1" applyFill="1" applyBorder="1" applyAlignment="1" applyProtection="1">
      <alignment vertical="center" wrapText="1"/>
      <protection/>
    </xf>
    <xf numFmtId="0" fontId="71" fillId="33" borderId="19" xfId="0" applyFont="1" applyFill="1" applyBorder="1" applyAlignment="1" applyProtection="1">
      <alignment horizontal="right" vertical="center" wrapText="1"/>
      <protection/>
    </xf>
    <xf numFmtId="0" fontId="71" fillId="33" borderId="20" xfId="0" applyFont="1" applyFill="1" applyBorder="1" applyAlignment="1" applyProtection="1">
      <alignment horizontal="justify" vertical="center" wrapText="1"/>
      <protection/>
    </xf>
    <xf numFmtId="3" fontId="70" fillId="33" borderId="24" xfId="0" applyNumberFormat="1" applyFont="1" applyFill="1" applyBorder="1" applyAlignment="1" applyProtection="1">
      <alignment horizontal="right" vertical="top" wrapText="1"/>
      <protection/>
    </xf>
    <xf numFmtId="0" fontId="70" fillId="33" borderId="0" xfId="0" applyFont="1" applyFill="1" applyBorder="1" applyAlignment="1" applyProtection="1">
      <alignment horizontal="left"/>
      <protection/>
    </xf>
    <xf numFmtId="0" fontId="71" fillId="33" borderId="0" xfId="0" applyFont="1" applyFill="1" applyBorder="1" applyAlignment="1" applyProtection="1">
      <alignment horizontal="left"/>
      <protection/>
    </xf>
    <xf numFmtId="0" fontId="71" fillId="33" borderId="0" xfId="0" applyFont="1" applyFill="1" applyBorder="1" applyAlignment="1" applyProtection="1">
      <alignment horizontal="center"/>
      <protection/>
    </xf>
    <xf numFmtId="0" fontId="70" fillId="16" borderId="21" xfId="0" applyFont="1" applyFill="1" applyBorder="1" applyAlignment="1" applyProtection="1">
      <alignment horizontal="center" vertical="center" wrapText="1"/>
      <protection/>
    </xf>
    <xf numFmtId="0" fontId="70" fillId="16" borderId="23" xfId="0" applyFont="1" applyFill="1" applyBorder="1" applyAlignment="1" applyProtection="1">
      <alignment horizontal="center" vertical="center" wrapText="1"/>
      <protection/>
    </xf>
    <xf numFmtId="0" fontId="71" fillId="33" borderId="12" xfId="0" applyFont="1" applyFill="1" applyBorder="1" applyAlignment="1" applyProtection="1">
      <alignment horizontal="left"/>
      <protection/>
    </xf>
    <xf numFmtId="171" fontId="71" fillId="33" borderId="12" xfId="0" applyNumberFormat="1" applyFont="1" applyFill="1" applyBorder="1" applyAlignment="1" applyProtection="1">
      <alignment/>
      <protection/>
    </xf>
    <xf numFmtId="171" fontId="71" fillId="33" borderId="19" xfId="0" applyNumberFormat="1" applyFont="1" applyFill="1" applyBorder="1" applyAlignment="1" applyProtection="1">
      <alignment/>
      <protection/>
    </xf>
    <xf numFmtId="171" fontId="71" fillId="33" borderId="13" xfId="0" applyNumberFormat="1" applyFont="1" applyFill="1" applyBorder="1" applyAlignment="1" applyProtection="1">
      <alignment/>
      <protection/>
    </xf>
    <xf numFmtId="0" fontId="70" fillId="33" borderId="12" xfId="0" applyFont="1" applyFill="1" applyBorder="1" applyAlignment="1" applyProtection="1">
      <alignment horizontal="left" wrapText="1"/>
      <protection/>
    </xf>
    <xf numFmtId="0" fontId="70" fillId="33" borderId="0" xfId="0" applyFont="1" applyFill="1" applyBorder="1" applyAlignment="1" applyProtection="1">
      <alignment horizontal="left" wrapText="1"/>
      <protection/>
    </xf>
    <xf numFmtId="171" fontId="70" fillId="33" borderId="12" xfId="0" applyNumberFormat="1" applyFont="1" applyFill="1" applyBorder="1" applyAlignment="1" applyProtection="1">
      <alignment wrapText="1"/>
      <protection/>
    </xf>
    <xf numFmtId="171" fontId="70" fillId="33" borderId="19" xfId="0" applyNumberFormat="1" applyFont="1" applyFill="1" applyBorder="1" applyAlignment="1" applyProtection="1">
      <alignment wrapText="1"/>
      <protection/>
    </xf>
    <xf numFmtId="171" fontId="70" fillId="33" borderId="13" xfId="0" applyNumberFormat="1" applyFont="1" applyFill="1" applyBorder="1" applyAlignment="1" applyProtection="1">
      <alignment wrapText="1"/>
      <protection/>
    </xf>
    <xf numFmtId="168" fontId="70" fillId="33" borderId="12" xfId="0" applyNumberFormat="1" applyFont="1" applyFill="1" applyBorder="1" applyAlignment="1" applyProtection="1">
      <alignment wrapText="1"/>
      <protection/>
    </xf>
    <xf numFmtId="168" fontId="70" fillId="33" borderId="19" xfId="0" applyNumberFormat="1" applyFont="1" applyFill="1" applyBorder="1" applyAlignment="1" applyProtection="1">
      <alignment wrapText="1"/>
      <protection/>
    </xf>
    <xf numFmtId="168" fontId="70" fillId="33" borderId="13" xfId="0" applyNumberFormat="1" applyFont="1" applyFill="1" applyBorder="1" applyAlignment="1" applyProtection="1">
      <alignment wrapText="1"/>
      <protection/>
    </xf>
    <xf numFmtId="168" fontId="71" fillId="33" borderId="12" xfId="0" applyNumberFormat="1" applyFont="1" applyFill="1" applyBorder="1" applyAlignment="1" applyProtection="1">
      <alignment horizontal="left"/>
      <protection/>
    </xf>
    <xf numFmtId="168" fontId="71" fillId="33" borderId="0" xfId="0" applyNumberFormat="1" applyFont="1" applyFill="1" applyBorder="1" applyAlignment="1" applyProtection="1">
      <alignment horizontal="left"/>
      <protection/>
    </xf>
    <xf numFmtId="168" fontId="71" fillId="33" borderId="12" xfId="0" applyNumberFormat="1" applyFont="1" applyFill="1" applyBorder="1" applyAlignment="1" applyProtection="1">
      <alignment/>
      <protection/>
    </xf>
    <xf numFmtId="168" fontId="71" fillId="33" borderId="19" xfId="0" applyNumberFormat="1" applyFont="1" applyFill="1" applyBorder="1" applyAlignment="1" applyProtection="1">
      <alignment/>
      <protection/>
    </xf>
    <xf numFmtId="168" fontId="71" fillId="33" borderId="13" xfId="0" applyNumberFormat="1" applyFont="1" applyFill="1" applyBorder="1" applyAlignment="1" applyProtection="1">
      <alignment/>
      <protection/>
    </xf>
    <xf numFmtId="168" fontId="71" fillId="33" borderId="13" xfId="0" applyNumberFormat="1" applyFont="1" applyFill="1" applyBorder="1" applyAlignment="1" applyProtection="1">
      <alignment wrapText="1"/>
      <protection/>
    </xf>
    <xf numFmtId="168" fontId="71" fillId="33" borderId="12" xfId="0" applyNumberFormat="1" applyFont="1" applyFill="1" applyBorder="1" applyAlignment="1" applyProtection="1">
      <alignment horizontal="left" wrapText="1"/>
      <protection/>
    </xf>
    <xf numFmtId="168" fontId="71" fillId="33" borderId="0" xfId="0" applyNumberFormat="1" applyFont="1" applyFill="1" applyBorder="1" applyAlignment="1" applyProtection="1">
      <alignment horizontal="left" wrapText="1"/>
      <protection/>
    </xf>
    <xf numFmtId="168" fontId="70" fillId="33" borderId="12" xfId="0" applyNumberFormat="1" applyFont="1" applyFill="1" applyBorder="1" applyAlignment="1" applyProtection="1">
      <alignment horizontal="left"/>
      <protection/>
    </xf>
    <xf numFmtId="168" fontId="70" fillId="33" borderId="0" xfId="0" applyNumberFormat="1" applyFont="1" applyFill="1" applyBorder="1" applyAlignment="1" applyProtection="1">
      <alignment horizontal="left"/>
      <protection/>
    </xf>
    <xf numFmtId="168" fontId="70" fillId="33" borderId="12" xfId="0" applyNumberFormat="1" applyFont="1" applyFill="1" applyBorder="1" applyAlignment="1" applyProtection="1">
      <alignment horizontal="right"/>
      <protection/>
    </xf>
    <xf numFmtId="168" fontId="70" fillId="33" borderId="19" xfId="0" applyNumberFormat="1" applyFont="1" applyFill="1" applyBorder="1" applyAlignment="1" applyProtection="1">
      <alignment horizontal="right"/>
      <protection/>
    </xf>
    <xf numFmtId="168" fontId="70" fillId="33" borderId="13" xfId="0" applyNumberFormat="1" applyFont="1" applyFill="1" applyBorder="1" applyAlignment="1" applyProtection="1">
      <alignment horizontal="right"/>
      <protection/>
    </xf>
    <xf numFmtId="168" fontId="70" fillId="33" borderId="12" xfId="0" applyNumberFormat="1" applyFont="1" applyFill="1" applyBorder="1" applyAlignment="1" applyProtection="1">
      <alignment horizontal="right" wrapText="1"/>
      <protection/>
    </xf>
    <xf numFmtId="168" fontId="70" fillId="33" borderId="19" xfId="0" applyNumberFormat="1" applyFont="1" applyFill="1" applyBorder="1" applyAlignment="1" applyProtection="1">
      <alignment horizontal="right" wrapText="1"/>
      <protection/>
    </xf>
    <xf numFmtId="168" fontId="70" fillId="33" borderId="13" xfId="0" applyNumberFormat="1" applyFont="1" applyFill="1" applyBorder="1" applyAlignment="1" applyProtection="1">
      <alignment horizontal="right" wrapText="1"/>
      <protection/>
    </xf>
    <xf numFmtId="168" fontId="70" fillId="33" borderId="12" xfId="0" applyNumberFormat="1" applyFont="1" applyFill="1" applyBorder="1" applyAlignment="1" applyProtection="1">
      <alignment/>
      <protection/>
    </xf>
    <xf numFmtId="168" fontId="70" fillId="33" borderId="19" xfId="0" applyNumberFormat="1" applyFont="1" applyFill="1" applyBorder="1" applyAlignment="1" applyProtection="1">
      <alignment/>
      <protection/>
    </xf>
    <xf numFmtId="168" fontId="70" fillId="33" borderId="13" xfId="0" applyNumberFormat="1" applyFont="1" applyFill="1" applyBorder="1" applyAlignment="1" applyProtection="1">
      <alignment/>
      <protection/>
    </xf>
    <xf numFmtId="168" fontId="71" fillId="33" borderId="14" xfId="0" applyNumberFormat="1" applyFont="1" applyFill="1" applyBorder="1" applyAlignment="1" applyProtection="1">
      <alignment horizontal="left"/>
      <protection/>
    </xf>
    <xf numFmtId="168" fontId="71" fillId="33" borderId="11" xfId="0" applyNumberFormat="1" applyFont="1" applyFill="1" applyBorder="1" applyAlignment="1" applyProtection="1">
      <alignment horizontal="left"/>
      <protection/>
    </xf>
    <xf numFmtId="168" fontId="71" fillId="33" borderId="14" xfId="0" applyNumberFormat="1" applyFont="1" applyFill="1" applyBorder="1" applyAlignment="1" applyProtection="1">
      <alignment/>
      <protection/>
    </xf>
    <xf numFmtId="168" fontId="71" fillId="33" borderId="20" xfId="0" applyNumberFormat="1" applyFont="1" applyFill="1" applyBorder="1" applyAlignment="1" applyProtection="1">
      <alignment/>
      <protection/>
    </xf>
    <xf numFmtId="168" fontId="71" fillId="33" borderId="15" xfId="0" applyNumberFormat="1" applyFont="1" applyFill="1" applyBorder="1" applyAlignment="1" applyProtection="1">
      <alignment/>
      <protection/>
    </xf>
    <xf numFmtId="168" fontId="71" fillId="33" borderId="15" xfId="0" applyNumberFormat="1" applyFont="1" applyFill="1" applyBorder="1" applyAlignment="1" applyProtection="1">
      <alignment wrapText="1"/>
      <protection/>
    </xf>
    <xf numFmtId="168" fontId="71" fillId="33" borderId="0" xfId="0" applyNumberFormat="1" applyFont="1" applyFill="1" applyAlignment="1" applyProtection="1">
      <alignment horizontal="left"/>
      <protection/>
    </xf>
    <xf numFmtId="168" fontId="71" fillId="33" borderId="0" xfId="0" applyNumberFormat="1" applyFont="1" applyFill="1" applyAlignment="1" applyProtection="1">
      <alignment/>
      <protection/>
    </xf>
    <xf numFmtId="168" fontId="71" fillId="0" borderId="0" xfId="0" applyNumberFormat="1" applyFont="1" applyAlignment="1" applyProtection="1">
      <alignment horizontal="left"/>
      <protection/>
    </xf>
    <xf numFmtId="168" fontId="71" fillId="0" borderId="0" xfId="0" applyNumberFormat="1" applyFont="1" applyAlignment="1" applyProtection="1">
      <alignment/>
      <protection/>
    </xf>
    <xf numFmtId="168" fontId="70" fillId="33" borderId="0" xfId="0" applyNumberFormat="1" applyFont="1" applyFill="1" applyBorder="1" applyAlignment="1" applyProtection="1">
      <alignment/>
      <protection/>
    </xf>
    <xf numFmtId="168" fontId="70" fillId="33" borderId="0" xfId="0" applyNumberFormat="1" applyFont="1" applyFill="1" applyBorder="1" applyAlignment="1" applyProtection="1">
      <alignment horizontal="center"/>
      <protection/>
    </xf>
    <xf numFmtId="168" fontId="71" fillId="33" borderId="0" xfId="0" applyNumberFormat="1" applyFont="1" applyFill="1" applyBorder="1" applyAlignment="1" applyProtection="1">
      <alignment horizontal="center"/>
      <protection/>
    </xf>
    <xf numFmtId="168" fontId="70" fillId="16" borderId="21" xfId="0" applyNumberFormat="1" applyFont="1" applyFill="1" applyBorder="1" applyAlignment="1" applyProtection="1">
      <alignment horizontal="center" vertical="center" wrapText="1"/>
      <protection/>
    </xf>
    <xf numFmtId="168" fontId="70" fillId="16" borderId="24" xfId="0" applyNumberFormat="1" applyFont="1" applyFill="1" applyBorder="1" applyAlignment="1" applyProtection="1">
      <alignment horizontal="center" vertical="center" wrapText="1"/>
      <protection/>
    </xf>
    <xf numFmtId="168" fontId="70" fillId="16" borderId="23" xfId="0" applyNumberFormat="1" applyFont="1" applyFill="1" applyBorder="1" applyAlignment="1" applyProtection="1">
      <alignment horizontal="center" vertical="center" wrapText="1"/>
      <protection/>
    </xf>
    <xf numFmtId="168" fontId="71" fillId="33" borderId="12" xfId="0" applyNumberFormat="1" applyFont="1" applyFill="1" applyBorder="1" applyAlignment="1" applyProtection="1">
      <alignment horizontal="center"/>
      <protection/>
    </xf>
    <xf numFmtId="168" fontId="71" fillId="33" borderId="19" xfId="0" applyNumberFormat="1" applyFont="1" applyFill="1" applyBorder="1" applyAlignment="1" applyProtection="1">
      <alignment horizontal="center"/>
      <protection/>
    </xf>
    <xf numFmtId="168" fontId="71" fillId="33" borderId="13" xfId="0" applyNumberFormat="1" applyFont="1" applyFill="1" applyBorder="1" applyAlignment="1" applyProtection="1">
      <alignment horizontal="center"/>
      <protection/>
    </xf>
    <xf numFmtId="168" fontId="70" fillId="33" borderId="12" xfId="0" applyNumberFormat="1" applyFont="1" applyFill="1" applyBorder="1" applyAlignment="1" applyProtection="1">
      <alignment horizontal="left" wrapText="1"/>
      <protection/>
    </xf>
    <xf numFmtId="168" fontId="70" fillId="33" borderId="0" xfId="0" applyNumberFormat="1" applyFont="1" applyFill="1" applyBorder="1" applyAlignment="1" applyProtection="1">
      <alignment horizontal="left" wrapText="1"/>
      <protection/>
    </xf>
    <xf numFmtId="168" fontId="70" fillId="33" borderId="12" xfId="0" applyNumberFormat="1" applyFont="1" applyFill="1" applyBorder="1" applyAlignment="1" applyProtection="1">
      <alignment/>
      <protection/>
    </xf>
    <xf numFmtId="168" fontId="70" fillId="33" borderId="19" xfId="0" applyNumberFormat="1" applyFont="1" applyFill="1" applyBorder="1" applyAlignment="1" applyProtection="1">
      <alignment/>
      <protection/>
    </xf>
    <xf numFmtId="168" fontId="70" fillId="33" borderId="13" xfId="0" applyNumberFormat="1" applyFont="1" applyFill="1" applyBorder="1" applyAlignment="1" applyProtection="1">
      <alignment/>
      <protection/>
    </xf>
    <xf numFmtId="171" fontId="71" fillId="33" borderId="12" xfId="0" applyNumberFormat="1" applyFont="1" applyFill="1" applyBorder="1" applyAlignment="1" applyProtection="1">
      <alignment horizontal="left" wrapText="1"/>
      <protection/>
    </xf>
    <xf numFmtId="171" fontId="71" fillId="33" borderId="0" xfId="0" applyNumberFormat="1" applyFont="1" applyFill="1" applyBorder="1" applyAlignment="1" applyProtection="1">
      <alignment horizontal="left" wrapText="1"/>
      <protection/>
    </xf>
    <xf numFmtId="171" fontId="70" fillId="33" borderId="12" xfId="0" applyNumberFormat="1" applyFont="1" applyFill="1" applyBorder="1" applyAlignment="1" applyProtection="1">
      <alignment horizontal="left"/>
      <protection/>
    </xf>
    <xf numFmtId="171" fontId="70" fillId="33" borderId="0" xfId="0" applyNumberFormat="1" applyFont="1" applyFill="1" applyBorder="1" applyAlignment="1" applyProtection="1">
      <alignment horizontal="left"/>
      <protection/>
    </xf>
    <xf numFmtId="171" fontId="70" fillId="33" borderId="12" xfId="0" applyNumberFormat="1" applyFont="1" applyFill="1" applyBorder="1" applyAlignment="1" applyProtection="1">
      <alignment/>
      <protection/>
    </xf>
    <xf numFmtId="171" fontId="70" fillId="33" borderId="19" xfId="0" applyNumberFormat="1" applyFont="1" applyFill="1" applyBorder="1" applyAlignment="1" applyProtection="1">
      <alignment/>
      <protection/>
    </xf>
    <xf numFmtId="171" fontId="70" fillId="33" borderId="13" xfId="0" applyNumberFormat="1" applyFont="1" applyFill="1" applyBorder="1" applyAlignment="1" applyProtection="1">
      <alignment/>
      <protection/>
    </xf>
    <xf numFmtId="171" fontId="71" fillId="33" borderId="12" xfId="0" applyNumberFormat="1" applyFont="1" applyFill="1" applyBorder="1" applyAlignment="1" applyProtection="1">
      <alignment horizontal="left"/>
      <protection/>
    </xf>
    <xf numFmtId="171" fontId="71" fillId="33" borderId="0" xfId="0" applyNumberFormat="1" applyFont="1" applyFill="1" applyBorder="1" applyAlignment="1" applyProtection="1">
      <alignment horizontal="left"/>
      <protection/>
    </xf>
    <xf numFmtId="171" fontId="70" fillId="33" borderId="12" xfId="0" applyNumberFormat="1" applyFont="1" applyFill="1" applyBorder="1" applyAlignment="1" applyProtection="1">
      <alignment horizontal="right"/>
      <protection/>
    </xf>
    <xf numFmtId="171" fontId="70" fillId="33" borderId="19" xfId="0" applyNumberFormat="1" applyFont="1" applyFill="1" applyBorder="1" applyAlignment="1" applyProtection="1">
      <alignment horizontal="right"/>
      <protection/>
    </xf>
    <xf numFmtId="171" fontId="70" fillId="33" borderId="13" xfId="0" applyNumberFormat="1" applyFont="1" applyFill="1" applyBorder="1" applyAlignment="1" applyProtection="1">
      <alignment horizontal="right"/>
      <protection/>
    </xf>
    <xf numFmtId="171" fontId="70" fillId="33" borderId="13" xfId="0" applyNumberFormat="1" applyFont="1" applyFill="1" applyBorder="1" applyAlignment="1" applyProtection="1">
      <alignment horizontal="right" wrapText="1"/>
      <protection/>
    </xf>
    <xf numFmtId="171" fontId="71" fillId="33" borderId="13" xfId="0" applyNumberFormat="1" applyFont="1" applyFill="1" applyBorder="1" applyAlignment="1" applyProtection="1">
      <alignment horizontal="right" wrapText="1"/>
      <protection/>
    </xf>
    <xf numFmtId="171" fontId="71" fillId="33" borderId="14" xfId="0" applyNumberFormat="1" applyFont="1" applyFill="1" applyBorder="1" applyAlignment="1" applyProtection="1">
      <alignment horizontal="left"/>
      <protection/>
    </xf>
    <xf numFmtId="171" fontId="71" fillId="33" borderId="11" xfId="0" applyNumberFormat="1" applyFont="1" applyFill="1" applyBorder="1" applyAlignment="1" applyProtection="1">
      <alignment horizontal="left"/>
      <protection/>
    </xf>
    <xf numFmtId="171" fontId="71" fillId="33" borderId="14" xfId="0" applyNumberFormat="1" applyFont="1" applyFill="1" applyBorder="1" applyAlignment="1" applyProtection="1">
      <alignment/>
      <protection/>
    </xf>
    <xf numFmtId="171" fontId="71" fillId="33" borderId="20" xfId="0" applyNumberFormat="1" applyFont="1" applyFill="1" applyBorder="1" applyAlignment="1" applyProtection="1">
      <alignment/>
      <protection/>
    </xf>
    <xf numFmtId="171" fontId="71" fillId="33" borderId="15" xfId="0" applyNumberFormat="1" applyFont="1" applyFill="1" applyBorder="1" applyAlignment="1" applyProtection="1">
      <alignment/>
      <protection/>
    </xf>
    <xf numFmtId="171" fontId="71" fillId="33" borderId="0" xfId="0" applyNumberFormat="1" applyFont="1" applyFill="1" applyBorder="1" applyAlignment="1" applyProtection="1">
      <alignment/>
      <protection/>
    </xf>
    <xf numFmtId="171" fontId="70" fillId="33" borderId="0" xfId="0" applyNumberFormat="1" applyFont="1" applyFill="1" applyBorder="1" applyAlignment="1" applyProtection="1">
      <alignment/>
      <protection/>
    </xf>
    <xf numFmtId="0" fontId="70" fillId="16" borderId="17" xfId="0" applyFont="1" applyFill="1" applyBorder="1" applyAlignment="1" applyProtection="1">
      <alignment horizontal="center" vertical="center" wrapText="1"/>
      <protection/>
    </xf>
    <xf numFmtId="0" fontId="70" fillId="16" borderId="15" xfId="0" applyFont="1" applyFill="1" applyBorder="1" applyAlignment="1" applyProtection="1">
      <alignment horizontal="center" vertical="center" wrapText="1"/>
      <protection/>
    </xf>
    <xf numFmtId="3" fontId="70" fillId="33" borderId="12" xfId="0" applyNumberFormat="1" applyFont="1" applyFill="1" applyBorder="1" applyAlignment="1" applyProtection="1">
      <alignment wrapText="1"/>
      <protection/>
    </xf>
    <xf numFmtId="3" fontId="70" fillId="33" borderId="0" xfId="0" applyNumberFormat="1" applyFont="1" applyFill="1" applyBorder="1" applyAlignment="1" applyProtection="1">
      <alignment wrapText="1"/>
      <protection/>
    </xf>
    <xf numFmtId="3" fontId="70" fillId="33" borderId="19" xfId="0" applyNumberFormat="1" applyFont="1" applyFill="1" applyBorder="1" applyAlignment="1" applyProtection="1">
      <alignment wrapText="1"/>
      <protection/>
    </xf>
    <xf numFmtId="3" fontId="70" fillId="33" borderId="13" xfId="0" applyNumberFormat="1" applyFont="1" applyFill="1" applyBorder="1" applyAlignment="1" applyProtection="1">
      <alignment wrapText="1"/>
      <protection/>
    </xf>
    <xf numFmtId="3" fontId="71" fillId="33" borderId="13" xfId="0" applyNumberFormat="1" applyFont="1" applyFill="1" applyBorder="1" applyAlignment="1" applyProtection="1">
      <alignment wrapText="1"/>
      <protection/>
    </xf>
    <xf numFmtId="3" fontId="71" fillId="33" borderId="12" xfId="0" applyNumberFormat="1" applyFont="1" applyFill="1" applyBorder="1" applyAlignment="1" applyProtection="1">
      <alignment wrapText="1"/>
      <protection/>
    </xf>
    <xf numFmtId="3" fontId="71" fillId="33" borderId="0" xfId="0" applyNumberFormat="1" applyFont="1" applyFill="1" applyBorder="1" applyAlignment="1" applyProtection="1">
      <alignment wrapText="1"/>
      <protection/>
    </xf>
    <xf numFmtId="3" fontId="70" fillId="33" borderId="12" xfId="0" applyNumberFormat="1" applyFont="1" applyFill="1" applyBorder="1" applyAlignment="1" applyProtection="1">
      <alignment/>
      <protection/>
    </xf>
    <xf numFmtId="3" fontId="70" fillId="33" borderId="0" xfId="0" applyNumberFormat="1" applyFont="1" applyFill="1" applyBorder="1" applyAlignment="1" applyProtection="1">
      <alignment/>
      <protection/>
    </xf>
    <xf numFmtId="3" fontId="71" fillId="33" borderId="12" xfId="0" applyNumberFormat="1" applyFont="1" applyFill="1" applyBorder="1" applyAlignment="1" applyProtection="1">
      <alignment/>
      <protection/>
    </xf>
    <xf numFmtId="3" fontId="71" fillId="33" borderId="0" xfId="0" applyNumberFormat="1" applyFont="1" applyFill="1" applyBorder="1" applyAlignment="1" applyProtection="1">
      <alignment/>
      <protection/>
    </xf>
    <xf numFmtId="3" fontId="70" fillId="33" borderId="12" xfId="0" applyNumberFormat="1" applyFont="1" applyFill="1" applyBorder="1" applyAlignment="1" applyProtection="1">
      <alignment horizontal="right"/>
      <protection/>
    </xf>
    <xf numFmtId="3" fontId="70" fillId="33" borderId="19" xfId="0" applyNumberFormat="1" applyFont="1" applyFill="1" applyBorder="1" applyAlignment="1" applyProtection="1">
      <alignment horizontal="right"/>
      <protection/>
    </xf>
    <xf numFmtId="3" fontId="70" fillId="33" borderId="13" xfId="0" applyNumberFormat="1" applyFont="1" applyFill="1" applyBorder="1" applyAlignment="1" applyProtection="1">
      <alignment horizontal="right"/>
      <protection/>
    </xf>
    <xf numFmtId="3" fontId="70" fillId="33" borderId="13" xfId="0" applyNumberFormat="1" applyFont="1" applyFill="1" applyBorder="1" applyAlignment="1" applyProtection="1">
      <alignment horizontal="right" wrapText="1"/>
      <protection/>
    </xf>
    <xf numFmtId="3" fontId="70" fillId="33" borderId="19" xfId="0" applyNumberFormat="1" applyFont="1" applyFill="1" applyBorder="1" applyAlignment="1" applyProtection="1">
      <alignment/>
      <protection/>
    </xf>
    <xf numFmtId="3" fontId="70" fillId="33" borderId="13" xfId="0" applyNumberFormat="1" applyFont="1" applyFill="1" applyBorder="1" applyAlignment="1" applyProtection="1">
      <alignment/>
      <protection/>
    </xf>
    <xf numFmtId="3" fontId="70" fillId="33" borderId="12" xfId="0" applyNumberFormat="1" applyFont="1" applyFill="1" applyBorder="1" applyAlignment="1" applyProtection="1">
      <alignment/>
      <protection/>
    </xf>
    <xf numFmtId="3" fontId="70" fillId="33" borderId="0" xfId="0" applyNumberFormat="1" applyFont="1" applyFill="1" applyBorder="1" applyAlignment="1" applyProtection="1">
      <alignment/>
      <protection/>
    </xf>
    <xf numFmtId="3" fontId="70" fillId="33" borderId="14" xfId="0" applyNumberFormat="1" applyFont="1" applyFill="1" applyBorder="1" applyAlignment="1" applyProtection="1">
      <alignment/>
      <protection/>
    </xf>
    <xf numFmtId="3" fontId="70" fillId="33" borderId="11" xfId="0" applyNumberFormat="1" applyFont="1" applyFill="1" applyBorder="1" applyAlignment="1" applyProtection="1">
      <alignment/>
      <protection/>
    </xf>
    <xf numFmtId="3" fontId="71" fillId="33" borderId="14" xfId="0" applyNumberFormat="1" applyFont="1" applyFill="1" applyBorder="1" applyAlignment="1" applyProtection="1">
      <alignment/>
      <protection/>
    </xf>
    <xf numFmtId="3" fontId="71" fillId="33" borderId="20" xfId="0" applyNumberFormat="1" applyFont="1" applyFill="1" applyBorder="1" applyAlignment="1" applyProtection="1">
      <alignment/>
      <protection/>
    </xf>
    <xf numFmtId="3" fontId="71" fillId="33" borderId="15" xfId="0" applyNumberFormat="1" applyFont="1" applyFill="1" applyBorder="1" applyAlignment="1" applyProtection="1">
      <alignment/>
      <protection/>
    </xf>
    <xf numFmtId="3" fontId="71" fillId="33" borderId="19" xfId="0" applyNumberFormat="1" applyFont="1" applyFill="1" applyBorder="1" applyAlignment="1" applyProtection="1">
      <alignment/>
      <protection/>
    </xf>
    <xf numFmtId="3" fontId="71" fillId="33" borderId="13" xfId="0" applyNumberFormat="1" applyFont="1" applyFill="1" applyBorder="1" applyAlignment="1" applyProtection="1">
      <alignment/>
      <protection/>
    </xf>
    <xf numFmtId="0" fontId="70" fillId="33" borderId="13" xfId="0" applyFont="1" applyFill="1" applyBorder="1" applyAlignment="1" applyProtection="1">
      <alignment horizontal="right" vertical="center" wrapText="1"/>
      <protection/>
    </xf>
    <xf numFmtId="0" fontId="70" fillId="33" borderId="19" xfId="0" applyFont="1" applyFill="1" applyBorder="1" applyAlignment="1" applyProtection="1">
      <alignment horizontal="right" vertical="center" wrapText="1"/>
      <protection/>
    </xf>
    <xf numFmtId="0" fontId="71" fillId="33" borderId="15" xfId="0" applyFont="1" applyFill="1" applyBorder="1" applyAlignment="1" applyProtection="1">
      <alignment horizontal="right" vertical="center" wrapText="1"/>
      <protection/>
    </xf>
    <xf numFmtId="0" fontId="71" fillId="33" borderId="20" xfId="0" applyFont="1" applyFill="1" applyBorder="1" applyAlignment="1" applyProtection="1">
      <alignment horizontal="right" vertical="center" wrapText="1"/>
      <protection/>
    </xf>
    <xf numFmtId="0" fontId="71" fillId="33" borderId="20" xfId="0" applyFont="1" applyFill="1" applyBorder="1" applyAlignment="1" applyProtection="1">
      <alignment horizontal="right" vertical="top"/>
      <protection/>
    </xf>
    <xf numFmtId="3" fontId="71" fillId="33" borderId="19" xfId="0" applyNumberFormat="1" applyFont="1" applyFill="1" applyBorder="1" applyAlignment="1" applyProtection="1">
      <alignment horizontal="right" vertical="center" wrapText="1"/>
      <protection/>
    </xf>
    <xf numFmtId="3" fontId="71" fillId="33" borderId="27" xfId="0" applyNumberFormat="1" applyFont="1" applyFill="1" applyBorder="1" applyAlignment="1" applyProtection="1">
      <alignment horizontal="right" vertical="center" wrapText="1"/>
      <protection/>
    </xf>
    <xf numFmtId="3" fontId="71" fillId="33" borderId="24" xfId="0" applyNumberFormat="1" applyFont="1" applyFill="1" applyBorder="1" applyAlignment="1" applyProtection="1">
      <alignment horizontal="right" vertical="center" wrapText="1"/>
      <protection/>
    </xf>
    <xf numFmtId="3" fontId="70" fillId="33" borderId="27" xfId="0" applyNumberFormat="1" applyFont="1" applyFill="1" applyBorder="1" applyAlignment="1" applyProtection="1">
      <alignment horizontal="right" vertical="center" wrapText="1"/>
      <protection/>
    </xf>
    <xf numFmtId="3" fontId="71" fillId="33" borderId="20" xfId="0" applyNumberFormat="1" applyFont="1" applyFill="1" applyBorder="1" applyAlignment="1" applyProtection="1">
      <alignment horizontal="right" vertical="center" wrapText="1"/>
      <protection/>
    </xf>
    <xf numFmtId="3" fontId="71" fillId="33" borderId="12" xfId="0" applyNumberFormat="1" applyFont="1" applyFill="1" applyBorder="1" applyAlignment="1" applyProtection="1">
      <alignment vertical="center" wrapText="1"/>
      <protection/>
    </xf>
    <xf numFmtId="3" fontId="71" fillId="33" borderId="19" xfId="0" applyNumberFormat="1" applyFont="1" applyFill="1" applyBorder="1" applyAlignment="1" applyProtection="1">
      <alignment vertical="center" wrapText="1"/>
      <protection/>
    </xf>
    <xf numFmtId="3" fontId="70" fillId="16" borderId="21" xfId="0" applyNumberFormat="1" applyFont="1" applyFill="1" applyBorder="1" applyAlignment="1" applyProtection="1">
      <alignment horizontal="center" vertical="center" wrapText="1"/>
      <protection/>
    </xf>
    <xf numFmtId="3" fontId="70" fillId="16" borderId="24" xfId="0" applyNumberFormat="1" applyFont="1" applyFill="1" applyBorder="1" applyAlignment="1" applyProtection="1">
      <alignment horizontal="center" vertical="center" wrapText="1"/>
      <protection/>
    </xf>
    <xf numFmtId="3" fontId="70" fillId="16" borderId="23" xfId="0" applyNumberFormat="1" applyFont="1" applyFill="1" applyBorder="1" applyAlignment="1" applyProtection="1">
      <alignment horizontal="center" vertical="center" wrapText="1"/>
      <protection/>
    </xf>
    <xf numFmtId="3" fontId="71" fillId="33" borderId="13" xfId="0" applyNumberFormat="1" applyFont="1" applyFill="1" applyBorder="1" applyAlignment="1" applyProtection="1">
      <alignment vertical="center"/>
      <protection/>
    </xf>
    <xf numFmtId="3" fontId="71" fillId="33" borderId="13" xfId="0" applyNumberFormat="1" applyFont="1" applyFill="1" applyBorder="1" applyAlignment="1" applyProtection="1">
      <alignment vertical="center" wrapText="1"/>
      <protection/>
    </xf>
    <xf numFmtId="3" fontId="70" fillId="33" borderId="20" xfId="0" applyNumberFormat="1" applyFont="1" applyFill="1" applyBorder="1" applyAlignment="1" applyProtection="1">
      <alignment/>
      <protection/>
    </xf>
    <xf numFmtId="3" fontId="70" fillId="33" borderId="15" xfId="0" applyNumberFormat="1" applyFont="1" applyFill="1" applyBorder="1" applyAlignment="1" applyProtection="1">
      <alignment/>
      <protection/>
    </xf>
    <xf numFmtId="3" fontId="70" fillId="33" borderId="16" xfId="0" applyNumberFormat="1" applyFont="1" applyFill="1" applyBorder="1" applyAlignment="1" applyProtection="1">
      <alignment/>
      <protection/>
    </xf>
    <xf numFmtId="3" fontId="70" fillId="33" borderId="18" xfId="0" applyNumberFormat="1" applyFont="1" applyFill="1" applyBorder="1" applyAlignment="1" applyProtection="1">
      <alignment/>
      <protection/>
    </xf>
    <xf numFmtId="3" fontId="70" fillId="33" borderId="17" xfId="0" applyNumberFormat="1" applyFont="1" applyFill="1" applyBorder="1" applyAlignment="1" applyProtection="1">
      <alignment/>
      <protection/>
    </xf>
    <xf numFmtId="3" fontId="71" fillId="33" borderId="19" xfId="0" applyNumberFormat="1" applyFont="1" applyFill="1" applyBorder="1" applyAlignment="1" applyProtection="1">
      <alignment wrapText="1"/>
      <protection/>
    </xf>
    <xf numFmtId="3" fontId="71" fillId="33" borderId="15" xfId="0" applyNumberFormat="1" applyFont="1" applyFill="1" applyBorder="1" applyAlignment="1" applyProtection="1">
      <alignment vertical="center"/>
      <protection/>
    </xf>
    <xf numFmtId="3" fontId="70" fillId="33" borderId="12" xfId="0" applyNumberFormat="1" applyFont="1" applyFill="1" applyBorder="1" applyAlignment="1" applyProtection="1">
      <alignment vertical="center" wrapText="1"/>
      <protection/>
    </xf>
    <xf numFmtId="3" fontId="70" fillId="33" borderId="19" xfId="0" applyNumberFormat="1" applyFont="1" applyFill="1" applyBorder="1" applyAlignment="1" applyProtection="1">
      <alignment vertical="center" wrapText="1"/>
      <protection/>
    </xf>
    <xf numFmtId="3" fontId="70" fillId="33" borderId="13" xfId="0" applyNumberFormat="1" applyFont="1" applyFill="1" applyBorder="1" applyAlignment="1" applyProtection="1">
      <alignment vertical="center" wrapText="1"/>
      <protection/>
    </xf>
    <xf numFmtId="0" fontId="70" fillId="33" borderId="0" xfId="0" applyFont="1" applyFill="1" applyBorder="1" applyAlignment="1" applyProtection="1">
      <alignment horizontal="center" wrapText="1"/>
      <protection/>
    </xf>
    <xf numFmtId="0" fontId="70" fillId="16" borderId="22" xfId="0" applyFont="1" applyFill="1" applyBorder="1" applyAlignment="1" applyProtection="1">
      <alignment horizontal="center" vertical="center" wrapText="1"/>
      <protection/>
    </xf>
    <xf numFmtId="3" fontId="70" fillId="33" borderId="16" xfId="0" applyNumberFormat="1" applyFont="1" applyFill="1" applyBorder="1" applyAlignment="1" applyProtection="1">
      <alignment vertical="center"/>
      <protection/>
    </xf>
    <xf numFmtId="3" fontId="70" fillId="33" borderId="0" xfId="0" applyNumberFormat="1" applyFont="1" applyFill="1" applyBorder="1" applyAlignment="1" applyProtection="1">
      <alignment vertical="center"/>
      <protection/>
    </xf>
    <xf numFmtId="3" fontId="70" fillId="33" borderId="12" xfId="0" applyNumberFormat="1" applyFont="1" applyFill="1" applyBorder="1" applyAlignment="1" applyProtection="1">
      <alignment vertical="center"/>
      <protection/>
    </xf>
    <xf numFmtId="3" fontId="71" fillId="33" borderId="12" xfId="0" applyNumberFormat="1" applyFont="1" applyFill="1" applyBorder="1" applyAlignment="1" applyProtection="1">
      <alignment vertical="center"/>
      <protection/>
    </xf>
    <xf numFmtId="3" fontId="71" fillId="33" borderId="0" xfId="0" applyNumberFormat="1" applyFont="1" applyFill="1" applyBorder="1" applyAlignment="1" applyProtection="1">
      <alignment vertical="center"/>
      <protection/>
    </xf>
    <xf numFmtId="3" fontId="71" fillId="33" borderId="16" xfId="0" applyNumberFormat="1" applyFont="1" applyFill="1" applyBorder="1" applyAlignment="1" applyProtection="1">
      <alignment/>
      <protection/>
    </xf>
    <xf numFmtId="3" fontId="71" fillId="33" borderId="18" xfId="0" applyNumberFormat="1" applyFont="1" applyFill="1" applyBorder="1" applyAlignment="1" applyProtection="1">
      <alignment/>
      <protection/>
    </xf>
    <xf numFmtId="3" fontId="71" fillId="33" borderId="10" xfId="0" applyNumberFormat="1" applyFont="1" applyFill="1" applyBorder="1" applyAlignment="1" applyProtection="1">
      <alignment/>
      <protection/>
    </xf>
    <xf numFmtId="3" fontId="71" fillId="33" borderId="17" xfId="0" applyNumberFormat="1" applyFont="1" applyFill="1" applyBorder="1" applyAlignment="1" applyProtection="1">
      <alignment/>
      <protection/>
    </xf>
    <xf numFmtId="170" fontId="71" fillId="33" borderId="15" xfId="0" applyNumberFormat="1" applyFont="1" applyFill="1" applyBorder="1" applyAlignment="1" applyProtection="1">
      <alignment/>
      <protection/>
    </xf>
    <xf numFmtId="3" fontId="70" fillId="33" borderId="0" xfId="0" applyNumberFormat="1" applyFont="1" applyFill="1" applyBorder="1" applyAlignment="1" applyProtection="1">
      <alignment vertical="center" wrapText="1"/>
      <protection/>
    </xf>
    <xf numFmtId="170" fontId="71" fillId="33" borderId="14" xfId="0" applyNumberFormat="1" applyFont="1" applyFill="1" applyBorder="1" applyAlignment="1" applyProtection="1">
      <alignment/>
      <protection/>
    </xf>
    <xf numFmtId="170" fontId="71" fillId="33" borderId="20" xfId="0" applyNumberFormat="1" applyFont="1" applyFill="1" applyBorder="1" applyAlignment="1" applyProtection="1">
      <alignment/>
      <protection/>
    </xf>
    <xf numFmtId="170" fontId="71" fillId="33" borderId="11" xfId="0" applyNumberFormat="1" applyFont="1" applyFill="1" applyBorder="1" applyAlignment="1" applyProtection="1">
      <alignment/>
      <protection/>
    </xf>
    <xf numFmtId="0" fontId="71" fillId="4" borderId="12" xfId="0" applyFont="1" applyFill="1" applyBorder="1" applyAlignment="1">
      <alignment/>
    </xf>
    <xf numFmtId="3" fontId="25" fillId="4" borderId="19" xfId="56" applyNumberFormat="1" applyFont="1" applyFill="1" applyBorder="1" applyAlignment="1" applyProtection="1">
      <alignment vertical="top"/>
      <protection/>
    </xf>
    <xf numFmtId="3" fontId="27" fillId="4" borderId="19" xfId="56" applyNumberFormat="1" applyFont="1" applyFill="1" applyBorder="1" applyAlignment="1" applyProtection="1">
      <alignment vertical="top"/>
      <protection/>
    </xf>
    <xf numFmtId="0" fontId="70" fillId="16" borderId="24" xfId="0" applyFont="1" applyFill="1" applyBorder="1" applyAlignment="1" applyProtection="1">
      <alignment horizontal="center"/>
      <protection/>
    </xf>
    <xf numFmtId="0" fontId="70" fillId="0" borderId="0" xfId="0" applyFont="1" applyAlignment="1" applyProtection="1">
      <alignment horizontal="center"/>
      <protection/>
    </xf>
    <xf numFmtId="0" fontId="70" fillId="0" borderId="0" xfId="0" applyFont="1" applyFill="1" applyBorder="1" applyAlignment="1" applyProtection="1">
      <alignment horizontal="center"/>
      <protection/>
    </xf>
    <xf numFmtId="0" fontId="70" fillId="0" borderId="0" xfId="0" applyFont="1" applyFill="1" applyBorder="1" applyAlignment="1" applyProtection="1">
      <alignment horizontal="right"/>
      <protection/>
    </xf>
    <xf numFmtId="0" fontId="40" fillId="33" borderId="0" xfId="0" applyFont="1" applyFill="1" applyBorder="1" applyAlignment="1" applyProtection="1">
      <alignment vertical="top" wrapText="1"/>
      <protection/>
    </xf>
    <xf numFmtId="3" fontId="70" fillId="33" borderId="15" xfId="0" applyNumberFormat="1" applyFont="1" applyFill="1" applyBorder="1" applyAlignment="1" applyProtection="1">
      <alignment horizontal="right"/>
      <protection/>
    </xf>
    <xf numFmtId="0" fontId="70" fillId="33" borderId="11" xfId="0" applyFont="1" applyFill="1" applyBorder="1" applyAlignment="1" applyProtection="1">
      <alignment horizontal="right"/>
      <protection/>
    </xf>
    <xf numFmtId="0" fontId="73" fillId="33" borderId="13" xfId="0" applyFont="1" applyFill="1" applyBorder="1" applyAlignment="1" applyProtection="1">
      <alignment/>
      <protection/>
    </xf>
    <xf numFmtId="3" fontId="73" fillId="4" borderId="13" xfId="0" applyNumberFormat="1" applyFont="1" applyFill="1" applyBorder="1" applyAlignment="1" applyProtection="1">
      <alignment/>
      <protection locked="0"/>
    </xf>
    <xf numFmtId="0" fontId="71" fillId="4" borderId="0" xfId="0" applyFont="1" applyFill="1" applyBorder="1" applyAlignment="1" applyProtection="1">
      <alignment/>
      <protection locked="0"/>
    </xf>
    <xf numFmtId="0" fontId="71" fillId="4" borderId="12" xfId="0" applyFont="1" applyFill="1" applyBorder="1" applyAlignment="1" applyProtection="1">
      <alignment/>
      <protection locked="0"/>
    </xf>
    <xf numFmtId="3" fontId="73" fillId="4" borderId="17" xfId="0" applyNumberFormat="1" applyFont="1" applyFill="1" applyBorder="1" applyAlignment="1" applyProtection="1">
      <alignment/>
      <protection locked="0"/>
    </xf>
    <xf numFmtId="3" fontId="71" fillId="4" borderId="10" xfId="0" applyNumberFormat="1" applyFont="1" applyFill="1" applyBorder="1" applyAlignment="1" applyProtection="1">
      <alignment/>
      <protection locked="0"/>
    </xf>
    <xf numFmtId="0" fontId="71" fillId="4" borderId="10" xfId="0" applyFont="1" applyFill="1" applyBorder="1" applyAlignment="1" applyProtection="1">
      <alignment/>
      <protection locked="0"/>
    </xf>
    <xf numFmtId="0" fontId="71" fillId="4" borderId="16" xfId="0" applyFont="1" applyFill="1" applyBorder="1" applyAlignment="1" applyProtection="1">
      <alignment/>
      <protection locked="0"/>
    </xf>
    <xf numFmtId="3" fontId="27" fillId="4" borderId="17" xfId="0" applyNumberFormat="1" applyFont="1" applyFill="1" applyBorder="1" applyAlignment="1" applyProtection="1">
      <alignment/>
      <protection locked="0"/>
    </xf>
    <xf numFmtId="172" fontId="0" fillId="0" borderId="0" xfId="0" applyNumberFormat="1" applyAlignment="1">
      <alignment/>
    </xf>
    <xf numFmtId="3" fontId="71" fillId="35" borderId="20" xfId="0" applyNumberFormat="1" applyFont="1" applyFill="1" applyBorder="1" applyAlignment="1" applyProtection="1">
      <alignment horizontal="right" vertical="center" wrapText="1"/>
      <protection/>
    </xf>
    <xf numFmtId="3" fontId="71" fillId="35" borderId="24" xfId="0" applyNumberFormat="1" applyFont="1" applyFill="1" applyBorder="1" applyAlignment="1" applyProtection="1">
      <alignment horizontal="right" vertical="center" wrapText="1"/>
      <protection/>
    </xf>
    <xf numFmtId="3" fontId="71" fillId="35" borderId="12" xfId="0" applyNumberFormat="1" applyFont="1" applyFill="1" applyBorder="1" applyAlignment="1" applyProtection="1">
      <alignment vertical="center" wrapText="1"/>
      <protection/>
    </xf>
    <xf numFmtId="3" fontId="71" fillId="35" borderId="19" xfId="0" applyNumberFormat="1" applyFont="1" applyFill="1" applyBorder="1" applyAlignment="1" applyProtection="1">
      <alignment vertical="center" wrapText="1"/>
      <protection/>
    </xf>
    <xf numFmtId="3" fontId="71" fillId="35" borderId="13" xfId="0" applyNumberFormat="1" applyFont="1" applyFill="1" applyBorder="1" applyAlignment="1" applyProtection="1">
      <alignment vertical="center" wrapText="1"/>
      <protection/>
    </xf>
    <xf numFmtId="3" fontId="71" fillId="35" borderId="12" xfId="0" applyNumberFormat="1" applyFont="1" applyFill="1" applyBorder="1" applyAlignment="1" applyProtection="1">
      <alignment wrapText="1"/>
      <protection/>
    </xf>
    <xf numFmtId="3" fontId="71" fillId="35" borderId="19" xfId="0" applyNumberFormat="1" applyFont="1" applyFill="1" applyBorder="1" applyAlignment="1" applyProtection="1">
      <alignment wrapText="1"/>
      <protection/>
    </xf>
    <xf numFmtId="3" fontId="71" fillId="35" borderId="13" xfId="0" applyNumberFormat="1" applyFont="1" applyFill="1" applyBorder="1" applyAlignment="1" applyProtection="1">
      <alignment wrapText="1"/>
      <protection/>
    </xf>
    <xf numFmtId="3" fontId="71" fillId="35" borderId="12" xfId="0" applyNumberFormat="1" applyFont="1" applyFill="1" applyBorder="1" applyAlignment="1" applyProtection="1">
      <alignment/>
      <protection/>
    </xf>
    <xf numFmtId="3" fontId="71" fillId="35" borderId="19" xfId="0" applyNumberFormat="1" applyFont="1" applyFill="1" applyBorder="1" applyAlignment="1" applyProtection="1">
      <alignment/>
      <protection/>
    </xf>
    <xf numFmtId="3" fontId="71" fillId="35" borderId="13" xfId="0" applyNumberFormat="1" applyFont="1" applyFill="1" applyBorder="1" applyAlignment="1" applyProtection="1">
      <alignment/>
      <protection/>
    </xf>
    <xf numFmtId="0" fontId="70" fillId="0" borderId="0" xfId="0" applyFont="1" applyFill="1" applyBorder="1" applyAlignment="1" applyProtection="1">
      <alignment horizontal="center"/>
      <protection/>
    </xf>
    <xf numFmtId="0" fontId="70" fillId="0" borderId="0" xfId="0" applyFont="1" applyFill="1" applyBorder="1" applyAlignment="1" applyProtection="1">
      <alignment horizontal="right"/>
      <protection/>
    </xf>
    <xf numFmtId="0" fontId="40" fillId="33" borderId="0" xfId="0" applyFont="1" applyFill="1" applyBorder="1" applyAlignment="1" applyProtection="1">
      <alignment horizontal="center" vertical="top" wrapText="1"/>
      <protection/>
    </xf>
    <xf numFmtId="0" fontId="71" fillId="33" borderId="0" xfId="0" applyFont="1" applyFill="1" applyBorder="1" applyAlignment="1" applyProtection="1">
      <alignment horizontal="center"/>
      <protection/>
    </xf>
    <xf numFmtId="0" fontId="69" fillId="33" borderId="0" xfId="0" applyFont="1" applyFill="1" applyAlignment="1" applyProtection="1">
      <alignment horizontal="center"/>
      <protection/>
    </xf>
    <xf numFmtId="43" fontId="0" fillId="33" borderId="0" xfId="50" applyFont="1" applyFill="1" applyAlignment="1" applyProtection="1">
      <alignment/>
      <protection/>
    </xf>
    <xf numFmtId="0" fontId="69" fillId="34" borderId="10" xfId="0" applyFont="1" applyFill="1" applyBorder="1" applyAlignment="1" applyProtection="1">
      <alignment horizontal="center"/>
      <protection/>
    </xf>
    <xf numFmtId="43" fontId="69" fillId="34" borderId="10" xfId="50" applyFont="1" applyFill="1" applyBorder="1" applyAlignment="1" applyProtection="1">
      <alignment horizontal="center"/>
      <protection/>
    </xf>
    <xf numFmtId="0" fontId="69" fillId="33" borderId="0" xfId="0" applyFont="1" applyFill="1" applyBorder="1" applyAlignment="1" applyProtection="1">
      <alignment horizontal="center"/>
      <protection/>
    </xf>
    <xf numFmtId="43" fontId="0" fillId="33" borderId="0" xfId="50" applyFont="1" applyFill="1" applyBorder="1" applyAlignment="1" applyProtection="1">
      <alignment horizontal="center"/>
      <protection/>
    </xf>
    <xf numFmtId="0" fontId="70" fillId="4" borderId="19" xfId="0" applyFont="1" applyFill="1" applyBorder="1" applyAlignment="1" applyProtection="1">
      <alignment horizontal="justify" vertical="center" wrapText="1"/>
      <protection/>
    </xf>
    <xf numFmtId="0" fontId="83" fillId="33" borderId="0" xfId="0" applyFont="1" applyFill="1" applyAlignment="1">
      <alignment/>
    </xf>
    <xf numFmtId="0" fontId="79" fillId="33" borderId="28" xfId="0" applyFont="1" applyFill="1" applyBorder="1" applyAlignment="1">
      <alignment horizontal="center" vertical="center"/>
    </xf>
    <xf numFmtId="0" fontId="79" fillId="33" borderId="0" xfId="0" applyFont="1" applyFill="1" applyBorder="1" applyAlignment="1">
      <alignment horizontal="center" vertical="center"/>
    </xf>
    <xf numFmtId="0" fontId="79" fillId="33" borderId="29" xfId="0" applyFont="1" applyFill="1" applyBorder="1" applyAlignment="1">
      <alignment horizontal="center" vertical="center"/>
    </xf>
    <xf numFmtId="0" fontId="79" fillId="33" borderId="0" xfId="0" applyFont="1" applyFill="1" applyBorder="1" applyAlignment="1">
      <alignment horizontal="right" vertical="center"/>
    </xf>
    <xf numFmtId="0" fontId="84" fillId="36" borderId="0" xfId="0" applyFont="1" applyFill="1" applyAlignment="1">
      <alignment horizontal="center" vertical="center"/>
    </xf>
    <xf numFmtId="0" fontId="84" fillId="36" borderId="30" xfId="0" applyFont="1" applyFill="1" applyBorder="1" applyAlignment="1">
      <alignment horizontal="center" vertical="center" wrapText="1"/>
    </xf>
    <xf numFmtId="0" fontId="80" fillId="36" borderId="31" xfId="0" applyFont="1" applyFill="1" applyBorder="1" applyAlignment="1">
      <alignment horizontal="center" vertical="center" wrapText="1"/>
    </xf>
    <xf numFmtId="0" fontId="80" fillId="36" borderId="32" xfId="0" applyFont="1" applyFill="1" applyBorder="1" applyAlignment="1">
      <alignment horizontal="center" vertical="center"/>
    </xf>
    <xf numFmtId="0" fontId="80" fillId="36" borderId="33" xfId="0" applyFont="1" applyFill="1" applyBorder="1" applyAlignment="1">
      <alignment horizontal="center" vertical="center" wrapText="1"/>
    </xf>
    <xf numFmtId="0" fontId="84" fillId="37" borderId="34" xfId="0" applyFont="1" applyFill="1" applyBorder="1" applyAlignment="1">
      <alignment horizontal="center" vertical="center" wrapText="1"/>
    </xf>
    <xf numFmtId="0" fontId="84" fillId="37" borderId="31" xfId="0" applyFont="1" applyFill="1" applyBorder="1" applyAlignment="1">
      <alignment horizontal="center" vertical="center" wrapText="1"/>
    </xf>
    <xf numFmtId="0" fontId="84" fillId="36" borderId="34" xfId="0" applyFont="1" applyFill="1" applyBorder="1" applyAlignment="1">
      <alignment vertical="center" wrapText="1"/>
    </xf>
    <xf numFmtId="0" fontId="84" fillId="36" borderId="31" xfId="0" applyFont="1" applyFill="1" applyBorder="1" applyAlignment="1">
      <alignment vertical="center" wrapText="1"/>
    </xf>
    <xf numFmtId="0" fontId="84" fillId="21" borderId="35" xfId="0" applyFont="1" applyFill="1" applyBorder="1" applyAlignment="1">
      <alignment horizontal="center" vertical="center" wrapText="1"/>
    </xf>
    <xf numFmtId="0" fontId="80" fillId="21" borderId="34" xfId="0" applyFont="1" applyFill="1" applyBorder="1" applyAlignment="1">
      <alignment horizontal="center" vertical="center" wrapText="1"/>
    </xf>
    <xf numFmtId="0" fontId="80" fillId="21" borderId="34" xfId="0" applyFont="1" applyFill="1" applyBorder="1" applyAlignment="1">
      <alignment vertical="center" wrapText="1"/>
    </xf>
    <xf numFmtId="0" fontId="80" fillId="21" borderId="31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horizontal="center" vertical="center" wrapText="1"/>
    </xf>
    <xf numFmtId="0" fontId="85" fillId="0" borderId="34" xfId="0" applyFont="1" applyBorder="1" applyAlignment="1">
      <alignment horizontal="center" vertical="center"/>
    </xf>
    <xf numFmtId="0" fontId="85" fillId="0" borderId="34" xfId="0" applyFont="1" applyBorder="1" applyAlignment="1">
      <alignment vertical="center" wrapText="1"/>
    </xf>
    <xf numFmtId="0" fontId="80" fillId="0" borderId="36" xfId="0" applyFont="1" applyBorder="1" applyAlignment="1">
      <alignment horizontal="center" vertical="center" wrapText="1"/>
    </xf>
    <xf numFmtId="0" fontId="80" fillId="0" borderId="29" xfId="0" applyFont="1" applyBorder="1" applyAlignment="1">
      <alignment horizontal="center" vertical="center" wrapText="1"/>
    </xf>
    <xf numFmtId="14" fontId="80" fillId="0" borderId="37" xfId="0" applyNumberFormat="1" applyFont="1" applyBorder="1" applyAlignment="1">
      <alignment horizontal="center" vertical="center" wrapText="1"/>
    </xf>
    <xf numFmtId="43" fontId="80" fillId="0" borderId="36" xfId="50" applyFont="1" applyBorder="1" applyAlignment="1">
      <alignment horizontal="center" vertical="center" wrapText="1"/>
    </xf>
    <xf numFmtId="0" fontId="80" fillId="0" borderId="38" xfId="0" applyFont="1" applyBorder="1" applyAlignment="1">
      <alignment horizontal="center" vertical="center" wrapText="1"/>
    </xf>
    <xf numFmtId="0" fontId="80" fillId="0" borderId="37" xfId="0" applyFont="1" applyBorder="1" applyAlignment="1">
      <alignment horizontal="center" vertical="center" wrapText="1"/>
    </xf>
    <xf numFmtId="43" fontId="80" fillId="0" borderId="37" xfId="50" applyFont="1" applyBorder="1" applyAlignment="1">
      <alignment vertical="center" wrapText="1"/>
    </xf>
    <xf numFmtId="43" fontId="80" fillId="0" borderId="39" xfId="50" applyFont="1" applyBorder="1" applyAlignment="1">
      <alignment horizontal="center" vertical="center" wrapText="1"/>
    </xf>
    <xf numFmtId="0" fontId="80" fillId="0" borderId="40" xfId="0" applyFont="1" applyBorder="1" applyAlignment="1">
      <alignment horizontal="center" vertical="center" wrapText="1"/>
    </xf>
    <xf numFmtId="0" fontId="80" fillId="21" borderId="32" xfId="0" applyFont="1" applyFill="1" applyBorder="1" applyAlignment="1">
      <alignment horizontal="center" vertical="center" wrapText="1"/>
    </xf>
    <xf numFmtId="0" fontId="80" fillId="21" borderId="32" xfId="0" applyFont="1" applyFill="1" applyBorder="1" applyAlignment="1">
      <alignment vertical="center" wrapText="1"/>
    </xf>
    <xf numFmtId="0" fontId="80" fillId="21" borderId="40" xfId="0" applyFont="1" applyFill="1" applyBorder="1" applyAlignment="1">
      <alignment horizontal="center" vertical="center" wrapText="1"/>
    </xf>
    <xf numFmtId="43" fontId="80" fillId="0" borderId="29" xfId="50" applyFont="1" applyBorder="1" applyAlignment="1">
      <alignment vertical="center" wrapText="1"/>
    </xf>
    <xf numFmtId="0" fontId="80" fillId="0" borderId="29" xfId="0" applyFont="1" applyBorder="1" applyAlignment="1">
      <alignment vertical="center" wrapText="1"/>
    </xf>
    <xf numFmtId="0" fontId="80" fillId="0" borderId="37" xfId="0" applyFont="1" applyBorder="1" applyAlignment="1">
      <alignment vertical="center" wrapText="1"/>
    </xf>
    <xf numFmtId="0" fontId="85" fillId="21" borderId="35" xfId="0" applyFont="1" applyFill="1" applyBorder="1" applyAlignment="1">
      <alignment horizontal="right" vertical="center" wrapText="1"/>
    </xf>
    <xf numFmtId="0" fontId="85" fillId="21" borderId="34" xfId="0" applyFont="1" applyFill="1" applyBorder="1" applyAlignment="1">
      <alignment horizontal="center" vertical="center"/>
    </xf>
    <xf numFmtId="0" fontId="85" fillId="21" borderId="34" xfId="0" applyFont="1" applyFill="1" applyBorder="1" applyAlignment="1">
      <alignment vertical="center" wrapText="1"/>
    </xf>
    <xf numFmtId="0" fontId="85" fillId="0" borderId="34" xfId="0" applyFont="1" applyBorder="1" applyAlignment="1">
      <alignment horizontal="left" vertical="center" wrapText="1" indent="2"/>
    </xf>
    <xf numFmtId="0" fontId="85" fillId="0" borderId="35" xfId="0" applyFont="1" applyBorder="1" applyAlignment="1">
      <alignment horizontal="right" vertical="center" wrapText="1"/>
    </xf>
    <xf numFmtId="0" fontId="80" fillId="21" borderId="38" xfId="0" applyFont="1" applyFill="1" applyBorder="1" applyAlignment="1">
      <alignment horizontal="center" vertical="center" wrapText="1"/>
    </xf>
    <xf numFmtId="0" fontId="80" fillId="21" borderId="37" xfId="0" applyFont="1" applyFill="1" applyBorder="1" applyAlignment="1">
      <alignment horizontal="center" vertical="center" wrapText="1"/>
    </xf>
    <xf numFmtId="0" fontId="80" fillId="21" borderId="33" xfId="0" applyFont="1" applyFill="1" applyBorder="1" applyAlignment="1">
      <alignment horizontal="center" vertical="center" wrapText="1"/>
    </xf>
    <xf numFmtId="0" fontId="80" fillId="0" borderId="40" xfId="0" applyFont="1" applyBorder="1" applyAlignment="1">
      <alignment vertical="center" wrapText="1"/>
    </xf>
    <xf numFmtId="0" fontId="80" fillId="0" borderId="33" xfId="0" applyFont="1" applyBorder="1" applyAlignment="1">
      <alignment horizontal="center" vertical="center" wrapText="1"/>
    </xf>
    <xf numFmtId="0" fontId="80" fillId="21" borderId="30" xfId="0" applyFont="1" applyFill="1" applyBorder="1" applyAlignment="1">
      <alignment horizontal="center" vertical="center" wrapText="1"/>
    </xf>
    <xf numFmtId="0" fontId="80" fillId="0" borderId="31" xfId="0" applyFont="1" applyBorder="1" applyAlignment="1">
      <alignment horizontal="center" vertical="center" wrapText="1"/>
    </xf>
    <xf numFmtId="0" fontId="80" fillId="0" borderId="31" xfId="0" applyFont="1" applyBorder="1" applyAlignment="1">
      <alignment vertical="center" wrapText="1"/>
    </xf>
    <xf numFmtId="0" fontId="80" fillId="0" borderId="30" xfId="0" applyFont="1" applyBorder="1" applyAlignment="1">
      <alignment horizontal="center" vertical="center" wrapText="1"/>
    </xf>
    <xf numFmtId="0" fontId="80" fillId="0" borderId="0" xfId="0" applyFont="1" applyAlignment="1">
      <alignment vertical="center"/>
    </xf>
    <xf numFmtId="0" fontId="80" fillId="0" borderId="0" xfId="0" applyFont="1" applyAlignment="1">
      <alignment/>
    </xf>
    <xf numFmtId="0" fontId="84" fillId="21" borderId="26" xfId="0" applyFont="1" applyFill="1" applyBorder="1" applyAlignment="1">
      <alignment horizontal="center" vertical="center" wrapText="1"/>
    </xf>
    <xf numFmtId="43" fontId="80" fillId="0" borderId="29" xfId="50" applyFont="1" applyBorder="1" applyAlignment="1">
      <alignment horizontal="center" vertical="center" wrapText="1"/>
    </xf>
    <xf numFmtId="43" fontId="80" fillId="0" borderId="0" xfId="50" applyFont="1" applyAlignment="1">
      <alignment horizontal="center" vertical="center" wrapText="1"/>
    </xf>
    <xf numFmtId="0" fontId="80" fillId="0" borderId="39" xfId="0" applyFont="1" applyBorder="1" applyAlignment="1">
      <alignment horizontal="center" vertical="center" wrapText="1"/>
    </xf>
    <xf numFmtId="14" fontId="80" fillId="0" borderId="33" xfId="0" applyNumberFormat="1" applyFont="1" applyBorder="1" applyAlignment="1">
      <alignment horizontal="center" vertical="center" wrapText="1"/>
    </xf>
    <xf numFmtId="43" fontId="80" fillId="0" borderId="33" xfId="50" applyFont="1" applyBorder="1" applyAlignment="1">
      <alignment vertical="center" wrapText="1"/>
    </xf>
    <xf numFmtId="43" fontId="80" fillId="0" borderId="40" xfId="50" applyFont="1" applyBorder="1" applyAlignment="1">
      <alignment vertical="center" wrapText="1"/>
    </xf>
    <xf numFmtId="0" fontId="85" fillId="0" borderId="34" xfId="0" applyFont="1" applyBorder="1" applyAlignment="1">
      <alignment horizontal="center" vertical="center" wrapText="1"/>
    </xf>
    <xf numFmtId="0" fontId="80" fillId="21" borderId="0" xfId="0" applyFont="1" applyFill="1" applyAlignment="1">
      <alignment horizontal="center" vertical="center" wrapText="1"/>
    </xf>
    <xf numFmtId="0" fontId="80" fillId="21" borderId="36" xfId="0" applyFont="1" applyFill="1" applyBorder="1" applyAlignment="1">
      <alignment horizontal="center" vertical="center" wrapText="1"/>
    </xf>
    <xf numFmtId="0" fontId="80" fillId="21" borderId="39" xfId="0" applyFont="1" applyFill="1" applyBorder="1" applyAlignment="1">
      <alignment horizontal="center" vertical="center" wrapText="1"/>
    </xf>
    <xf numFmtId="0" fontId="80" fillId="0" borderId="28" xfId="0" applyFont="1" applyBorder="1" applyAlignment="1">
      <alignment horizontal="justify" vertical="center"/>
    </xf>
    <xf numFmtId="0" fontId="80" fillId="0" borderId="0" xfId="0" applyFont="1" applyAlignment="1">
      <alignment horizontal="justify" vertical="center"/>
    </xf>
    <xf numFmtId="0" fontId="80" fillId="0" borderId="29" xfId="0" applyFont="1" applyBorder="1" applyAlignment="1">
      <alignment horizontal="justify" vertical="center"/>
    </xf>
    <xf numFmtId="0" fontId="84" fillId="37" borderId="32" xfId="0" applyFont="1" applyFill="1" applyBorder="1" applyAlignment="1">
      <alignment horizontal="center" vertical="center" wrapText="1"/>
    </xf>
    <xf numFmtId="0" fontId="84" fillId="37" borderId="40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0" fillId="0" borderId="32" xfId="0" applyFont="1" applyBorder="1" applyAlignment="1">
      <alignment horizontal="center" vertical="center" wrapText="1"/>
    </xf>
    <xf numFmtId="0" fontId="84" fillId="37" borderId="31" xfId="0" applyFont="1" applyFill="1" applyBorder="1" applyAlignment="1">
      <alignment vertical="center" wrapText="1"/>
    </xf>
    <xf numFmtId="0" fontId="85" fillId="0" borderId="31" xfId="0" applyFont="1" applyBorder="1" applyAlignment="1">
      <alignment vertical="center" wrapText="1"/>
    </xf>
    <xf numFmtId="0" fontId="79" fillId="33" borderId="0" xfId="0" applyFont="1" applyFill="1" applyAlignment="1">
      <alignment horizontal="justify" vertical="center"/>
    </xf>
    <xf numFmtId="0" fontId="83" fillId="33" borderId="0" xfId="0" applyFont="1" applyFill="1" applyBorder="1" applyAlignment="1">
      <alignment/>
    </xf>
    <xf numFmtId="0" fontId="79" fillId="33" borderId="0" xfId="0" applyFont="1" applyFill="1" applyBorder="1" applyAlignment="1">
      <alignment/>
    </xf>
    <xf numFmtId="0" fontId="79" fillId="33" borderId="0" xfId="0" applyFont="1" applyFill="1" applyAlignment="1">
      <alignment/>
    </xf>
    <xf numFmtId="0" fontId="86" fillId="33" borderId="0" xfId="0" applyFont="1" applyFill="1" applyAlignment="1" applyProtection="1">
      <alignment horizontal="center"/>
      <protection/>
    </xf>
    <xf numFmtId="0" fontId="87" fillId="33" borderId="0" xfId="0" applyFont="1" applyFill="1" applyAlignment="1" applyProtection="1">
      <alignment horizontal="center"/>
      <protection/>
    </xf>
    <xf numFmtId="0" fontId="88" fillId="33" borderId="0" xfId="0" applyFont="1" applyFill="1" applyAlignment="1" applyProtection="1">
      <alignment horizontal="center"/>
      <protection/>
    </xf>
    <xf numFmtId="0" fontId="47" fillId="16" borderId="0" xfId="0" applyFont="1" applyFill="1" applyAlignment="1" applyProtection="1">
      <alignment horizontal="center"/>
      <protection/>
    </xf>
    <xf numFmtId="0" fontId="48" fillId="33" borderId="0" xfId="47" applyFont="1" applyFill="1" applyAlignment="1" applyProtection="1">
      <alignment horizontal="center"/>
      <protection locked="0"/>
    </xf>
    <xf numFmtId="0" fontId="49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70" fillId="16" borderId="24" xfId="0" applyFont="1" applyFill="1" applyBorder="1" applyAlignment="1" applyProtection="1">
      <alignment horizontal="center"/>
      <protection/>
    </xf>
    <xf numFmtId="0" fontId="25" fillId="33" borderId="0" xfId="47" applyFont="1" applyFill="1" applyAlignment="1" applyProtection="1">
      <alignment horizontal="center"/>
      <protection locked="0"/>
    </xf>
    <xf numFmtId="0" fontId="70" fillId="0" borderId="0" xfId="0" applyFont="1" applyFill="1" applyAlignment="1" applyProtection="1">
      <alignment horizontal="center" vertical="center"/>
      <protection/>
    </xf>
    <xf numFmtId="0" fontId="70" fillId="0" borderId="11" xfId="0" applyFont="1" applyFill="1" applyBorder="1" applyAlignment="1" applyProtection="1">
      <alignment horizontal="center"/>
      <protection/>
    </xf>
    <xf numFmtId="0" fontId="70" fillId="0" borderId="0" xfId="0" applyFont="1" applyFill="1" applyBorder="1" applyAlignment="1" applyProtection="1">
      <alignment horizontal="center"/>
      <protection/>
    </xf>
    <xf numFmtId="0" fontId="76" fillId="33" borderId="12" xfId="0" applyFont="1" applyFill="1" applyBorder="1" applyAlignment="1" applyProtection="1">
      <alignment horizontal="left" vertical="center" wrapText="1"/>
      <protection/>
    </xf>
    <xf numFmtId="0" fontId="76" fillId="33" borderId="0" xfId="0" applyFont="1" applyFill="1" applyBorder="1" applyAlignment="1" applyProtection="1">
      <alignment horizontal="left" vertical="center" wrapText="1"/>
      <protection/>
    </xf>
    <xf numFmtId="0" fontId="76" fillId="33" borderId="13" xfId="0" applyFont="1" applyFill="1" applyBorder="1" applyAlignment="1" applyProtection="1">
      <alignment horizontal="left" vertical="center" wrapText="1"/>
      <protection/>
    </xf>
    <xf numFmtId="0" fontId="70" fillId="0" borderId="0" xfId="0" applyFont="1" applyFill="1" applyBorder="1" applyAlignment="1" applyProtection="1">
      <alignment horizontal="right"/>
      <protection/>
    </xf>
    <xf numFmtId="37" fontId="70" fillId="16" borderId="24" xfId="57" applyNumberFormat="1" applyFont="1" applyFill="1" applyBorder="1" applyAlignment="1" applyProtection="1">
      <alignment horizontal="center" vertical="center"/>
      <protection/>
    </xf>
    <xf numFmtId="37" fontId="70" fillId="16" borderId="24" xfId="57" applyNumberFormat="1" applyFont="1" applyFill="1" applyBorder="1" applyAlignment="1" applyProtection="1">
      <alignment horizontal="center" vertical="center" wrapText="1"/>
      <protection/>
    </xf>
    <xf numFmtId="3" fontId="75" fillId="33" borderId="18" xfId="0" applyNumberFormat="1" applyFont="1" applyFill="1" applyBorder="1" applyAlignment="1" applyProtection="1">
      <alignment horizontal="right" vertical="center" wrapText="1"/>
      <protection/>
    </xf>
    <xf numFmtId="0" fontId="75" fillId="33" borderId="20" xfId="0" applyFont="1" applyFill="1" applyBorder="1" applyAlignment="1" applyProtection="1">
      <alignment horizontal="right" vertical="center" wrapText="1"/>
      <protection/>
    </xf>
    <xf numFmtId="0" fontId="25" fillId="0" borderId="21" xfId="0" applyFont="1" applyBorder="1" applyAlignment="1" applyProtection="1">
      <alignment horizontal="center" vertical="top" wrapText="1"/>
      <protection/>
    </xf>
    <xf numFmtId="0" fontId="25" fillId="0" borderId="23" xfId="0" applyFont="1" applyBorder="1" applyAlignment="1" applyProtection="1">
      <alignment horizontal="center" vertical="top" wrapText="1"/>
      <protection/>
    </xf>
    <xf numFmtId="0" fontId="70" fillId="0" borderId="10" xfId="0" applyFont="1" applyBorder="1" applyAlignment="1" applyProtection="1">
      <alignment horizontal="center"/>
      <protection/>
    </xf>
    <xf numFmtId="0" fontId="70" fillId="0" borderId="0" xfId="0" applyFont="1" applyAlignment="1" applyProtection="1">
      <alignment horizontal="center"/>
      <protection/>
    </xf>
    <xf numFmtId="0" fontId="27" fillId="33" borderId="0" xfId="0" applyFont="1" applyFill="1" applyBorder="1" applyAlignment="1" applyProtection="1">
      <alignment horizontal="left" vertical="top" wrapText="1"/>
      <protection/>
    </xf>
    <xf numFmtId="0" fontId="71" fillId="33" borderId="12" xfId="0" applyFont="1" applyFill="1" applyBorder="1" applyAlignment="1">
      <alignment horizontal="left" wrapText="1"/>
    </xf>
    <xf numFmtId="0" fontId="71" fillId="33" borderId="13" xfId="0" applyFont="1" applyFill="1" applyBorder="1" applyAlignment="1">
      <alignment horizontal="left" wrapText="1"/>
    </xf>
    <xf numFmtId="0" fontId="70" fillId="33" borderId="0" xfId="0" applyFont="1" applyFill="1" applyBorder="1" applyAlignment="1">
      <alignment horizontal="center"/>
    </xf>
    <xf numFmtId="0" fontId="70" fillId="33" borderId="0" xfId="0" applyFont="1" applyFill="1" applyAlignment="1">
      <alignment horizontal="center" wrapText="1"/>
    </xf>
    <xf numFmtId="0" fontId="70" fillId="33" borderId="10" xfId="0" applyFont="1" applyFill="1" applyBorder="1" applyAlignment="1">
      <alignment horizontal="center" wrapText="1"/>
    </xf>
    <xf numFmtId="0" fontId="70" fillId="33" borderId="12" xfId="0" applyFont="1" applyFill="1" applyBorder="1" applyAlignment="1">
      <alignment horizontal="left" vertical="center" wrapText="1"/>
    </xf>
    <xf numFmtId="0" fontId="70" fillId="33" borderId="13" xfId="0" applyFont="1" applyFill="1" applyBorder="1" applyAlignment="1">
      <alignment horizontal="left" vertical="center" wrapText="1"/>
    </xf>
    <xf numFmtId="0" fontId="70" fillId="33" borderId="10" xfId="0" applyFont="1" applyFill="1" applyBorder="1" applyAlignment="1">
      <alignment horizontal="center"/>
    </xf>
    <xf numFmtId="0" fontId="70" fillId="16" borderId="21" xfId="0" applyFont="1" applyFill="1" applyBorder="1" applyAlignment="1">
      <alignment horizontal="center" vertical="center" wrapText="1"/>
    </xf>
    <xf numFmtId="0" fontId="70" fillId="16" borderId="22" xfId="0" applyFont="1" applyFill="1" applyBorder="1" applyAlignment="1">
      <alignment horizontal="center" vertical="center" wrapText="1"/>
    </xf>
    <xf numFmtId="0" fontId="70" fillId="16" borderId="23" xfId="0" applyFont="1" applyFill="1" applyBorder="1" applyAlignment="1">
      <alignment horizontal="center" vertical="center" wrapText="1"/>
    </xf>
    <xf numFmtId="0" fontId="70" fillId="16" borderId="16" xfId="0" applyFont="1" applyFill="1" applyBorder="1" applyAlignment="1">
      <alignment horizontal="center" vertical="center" wrapText="1"/>
    </xf>
    <xf numFmtId="0" fontId="70" fillId="16" borderId="17" xfId="0" applyFont="1" applyFill="1" applyBorder="1" applyAlignment="1">
      <alignment horizontal="center" vertical="center" wrapText="1"/>
    </xf>
    <xf numFmtId="0" fontId="70" fillId="16" borderId="14" xfId="0" applyFont="1" applyFill="1" applyBorder="1" applyAlignment="1">
      <alignment horizontal="center" vertical="center" wrapText="1"/>
    </xf>
    <xf numFmtId="0" fontId="70" fillId="16" borderId="15" xfId="0" applyFont="1" applyFill="1" applyBorder="1" applyAlignment="1">
      <alignment horizontal="center" vertical="center" wrapText="1"/>
    </xf>
    <xf numFmtId="0" fontId="70" fillId="33" borderId="11" xfId="0" applyFont="1" applyFill="1" applyBorder="1" applyAlignment="1" applyProtection="1">
      <alignment horizontal="center"/>
      <protection/>
    </xf>
    <xf numFmtId="0" fontId="70" fillId="33" borderId="12" xfId="0" applyFont="1" applyFill="1" applyBorder="1" applyAlignment="1">
      <alignment wrapText="1"/>
    </xf>
    <xf numFmtId="0" fontId="70" fillId="33" borderId="13" xfId="0" applyFont="1" applyFill="1" applyBorder="1" applyAlignment="1">
      <alignment wrapText="1"/>
    </xf>
    <xf numFmtId="0" fontId="25" fillId="33" borderId="0" xfId="47" applyFont="1" applyFill="1" applyAlignment="1" applyProtection="1">
      <alignment horizontal="center"/>
      <protection/>
    </xf>
    <xf numFmtId="0" fontId="70" fillId="34" borderId="24" xfId="0" applyFont="1" applyFill="1" applyBorder="1" applyAlignment="1" applyProtection="1">
      <alignment horizontal="center" vertical="center"/>
      <protection/>
    </xf>
    <xf numFmtId="0" fontId="70" fillId="34" borderId="24" xfId="0" applyFont="1" applyFill="1" applyBorder="1" applyAlignment="1" applyProtection="1">
      <alignment horizontal="center" vertical="center" wrapText="1"/>
      <protection/>
    </xf>
    <xf numFmtId="0" fontId="81" fillId="33" borderId="0" xfId="0" applyFont="1" applyFill="1" applyAlignment="1" applyProtection="1">
      <alignment horizontal="left" vertical="center" wrapText="1"/>
      <protection/>
    </xf>
    <xf numFmtId="0" fontId="82" fillId="33" borderId="0" xfId="0" applyFont="1" applyFill="1" applyAlignment="1" applyProtection="1">
      <alignment horizontal="left" vertical="center" wrapText="1"/>
      <protection/>
    </xf>
    <xf numFmtId="3" fontId="70" fillId="33" borderId="19" xfId="0" applyNumberFormat="1" applyFont="1" applyFill="1" applyBorder="1" applyAlignment="1">
      <alignment horizontal="right" wrapText="1"/>
    </xf>
    <xf numFmtId="0" fontId="70" fillId="16" borderId="18" xfId="0" applyFont="1" applyFill="1" applyBorder="1" applyAlignment="1">
      <alignment horizontal="center" vertical="center" wrapText="1"/>
    </xf>
    <xf numFmtId="0" fontId="70" fillId="16" borderId="20" xfId="0" applyFont="1" applyFill="1" applyBorder="1" applyAlignment="1">
      <alignment horizontal="center" vertical="center" wrapText="1"/>
    </xf>
    <xf numFmtId="0" fontId="70" fillId="16" borderId="24" xfId="0" applyFont="1" applyFill="1" applyBorder="1" applyAlignment="1">
      <alignment horizontal="center" vertical="center" wrapText="1"/>
    </xf>
    <xf numFmtId="3" fontId="70" fillId="33" borderId="12" xfId="0" applyNumberFormat="1" applyFont="1" applyFill="1" applyBorder="1" applyAlignment="1">
      <alignment horizontal="right" wrapText="1"/>
    </xf>
    <xf numFmtId="3" fontId="70" fillId="33" borderId="13" xfId="0" applyNumberFormat="1" applyFont="1" applyFill="1" applyBorder="1" applyAlignment="1">
      <alignment horizontal="right" wrapText="1"/>
    </xf>
    <xf numFmtId="0" fontId="70" fillId="16" borderId="16" xfId="0" applyFont="1" applyFill="1" applyBorder="1" applyAlignment="1" applyProtection="1">
      <alignment horizontal="center" vertical="center"/>
      <protection/>
    </xf>
    <xf numFmtId="0" fontId="70" fillId="16" borderId="17" xfId="0" applyFont="1" applyFill="1" applyBorder="1" applyAlignment="1" applyProtection="1">
      <alignment horizontal="center" vertical="center"/>
      <protection/>
    </xf>
    <xf numFmtId="0" fontId="70" fillId="16" borderId="12" xfId="0" applyFont="1" applyFill="1" applyBorder="1" applyAlignment="1" applyProtection="1">
      <alignment horizontal="center" vertical="center"/>
      <protection/>
    </xf>
    <xf numFmtId="0" fontId="70" fillId="16" borderId="13" xfId="0" applyFont="1" applyFill="1" applyBorder="1" applyAlignment="1" applyProtection="1">
      <alignment horizontal="center" vertical="center"/>
      <protection/>
    </xf>
    <xf numFmtId="0" fontId="70" fillId="16" borderId="14" xfId="0" applyFont="1" applyFill="1" applyBorder="1" applyAlignment="1" applyProtection="1">
      <alignment horizontal="center" vertical="center"/>
      <protection/>
    </xf>
    <xf numFmtId="0" fontId="70" fillId="16" borderId="15" xfId="0" applyFont="1" applyFill="1" applyBorder="1" applyAlignment="1" applyProtection="1">
      <alignment horizontal="center" vertical="center"/>
      <protection/>
    </xf>
    <xf numFmtId="0" fontId="70" fillId="16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center"/>
      <protection/>
    </xf>
    <xf numFmtId="0" fontId="25" fillId="0" borderId="10" xfId="0" applyFont="1" applyBorder="1" applyAlignment="1" applyProtection="1">
      <alignment horizontal="center"/>
      <protection/>
    </xf>
    <xf numFmtId="0" fontId="70" fillId="0" borderId="11" xfId="0" applyFont="1" applyFill="1" applyBorder="1" applyAlignment="1" applyProtection="1">
      <alignment horizontal="center"/>
      <protection locked="0"/>
    </xf>
    <xf numFmtId="0" fontId="75" fillId="33" borderId="12" xfId="0" applyFont="1" applyFill="1" applyBorder="1" applyAlignment="1" applyProtection="1">
      <alignment horizontal="left" vertical="center" wrapText="1"/>
      <protection/>
    </xf>
    <xf numFmtId="0" fontId="75" fillId="33" borderId="0" xfId="0" applyFont="1" applyFill="1" applyBorder="1" applyAlignment="1" applyProtection="1">
      <alignment horizontal="left" vertical="center" wrapText="1"/>
      <protection/>
    </xf>
    <xf numFmtId="0" fontId="70" fillId="16" borderId="24" xfId="0" applyFont="1" applyFill="1" applyBorder="1" applyAlignment="1" applyProtection="1">
      <alignment horizontal="center" vertical="center"/>
      <protection/>
    </xf>
    <xf numFmtId="168" fontId="70" fillId="33" borderId="12" xfId="0" applyNumberFormat="1" applyFont="1" applyFill="1" applyBorder="1" applyAlignment="1" applyProtection="1">
      <alignment horizontal="left" wrapText="1"/>
      <protection/>
    </xf>
    <xf numFmtId="168" fontId="70" fillId="33" borderId="13" xfId="0" applyNumberFormat="1" applyFont="1" applyFill="1" applyBorder="1" applyAlignment="1" applyProtection="1">
      <alignment horizontal="left" wrapText="1"/>
      <protection/>
    </xf>
    <xf numFmtId="168" fontId="70" fillId="33" borderId="12" xfId="0" applyNumberFormat="1" applyFont="1" applyFill="1" applyBorder="1" applyAlignment="1" applyProtection="1">
      <alignment horizontal="left"/>
      <protection/>
    </xf>
    <xf numFmtId="168" fontId="70" fillId="33" borderId="13" xfId="0" applyNumberFormat="1" applyFont="1" applyFill="1" applyBorder="1" applyAlignment="1" applyProtection="1">
      <alignment horizontal="left"/>
      <protection/>
    </xf>
    <xf numFmtId="168" fontId="71" fillId="33" borderId="12" xfId="0" applyNumberFormat="1" applyFont="1" applyFill="1" applyBorder="1" applyAlignment="1" applyProtection="1">
      <alignment horizontal="left" wrapText="1"/>
      <protection/>
    </xf>
    <xf numFmtId="168" fontId="71" fillId="33" borderId="13" xfId="0" applyNumberFormat="1" applyFont="1" applyFill="1" applyBorder="1" applyAlignment="1" applyProtection="1">
      <alignment horizontal="left" wrapText="1"/>
      <protection/>
    </xf>
    <xf numFmtId="0" fontId="70" fillId="16" borderId="21" xfId="0" applyFont="1" applyFill="1" applyBorder="1" applyAlignment="1" applyProtection="1">
      <alignment horizontal="center" vertical="center" wrapText="1"/>
      <protection/>
    </xf>
    <xf numFmtId="0" fontId="70" fillId="16" borderId="22" xfId="0" applyFont="1" applyFill="1" applyBorder="1" applyAlignment="1" applyProtection="1">
      <alignment horizontal="center" vertical="center" wrapText="1"/>
      <protection/>
    </xf>
    <xf numFmtId="0" fontId="70" fillId="16" borderId="18" xfId="0" applyFont="1" applyFill="1" applyBorder="1" applyAlignment="1" applyProtection="1">
      <alignment horizontal="center" vertical="center" wrapText="1"/>
      <protection/>
    </xf>
    <xf numFmtId="0" fontId="70" fillId="16" borderId="15" xfId="0" applyFont="1" applyFill="1" applyBorder="1" applyAlignment="1" applyProtection="1">
      <alignment horizontal="center" vertical="center" wrapText="1"/>
      <protection/>
    </xf>
    <xf numFmtId="0" fontId="70" fillId="33" borderId="0" xfId="0" applyFont="1" applyFill="1" applyBorder="1" applyAlignment="1" applyProtection="1">
      <alignment horizontal="center"/>
      <protection/>
    </xf>
    <xf numFmtId="0" fontId="70" fillId="16" borderId="16" xfId="0" applyFont="1" applyFill="1" applyBorder="1" applyAlignment="1" applyProtection="1">
      <alignment horizontal="center" vertical="center" wrapText="1"/>
      <protection/>
    </xf>
    <xf numFmtId="0" fontId="70" fillId="16" borderId="17" xfId="0" applyFont="1" applyFill="1" applyBorder="1" applyAlignment="1" applyProtection="1">
      <alignment horizontal="center" vertical="center" wrapText="1"/>
      <protection/>
    </xf>
    <xf numFmtId="0" fontId="70" fillId="16" borderId="14" xfId="0" applyFont="1" applyFill="1" applyBorder="1" applyAlignment="1" applyProtection="1">
      <alignment horizontal="center" vertical="center" wrapText="1"/>
      <protection/>
    </xf>
    <xf numFmtId="0" fontId="70" fillId="16" borderId="11" xfId="0" applyFont="1" applyFill="1" applyBorder="1" applyAlignment="1" applyProtection="1">
      <alignment horizontal="center" vertical="center" wrapText="1"/>
      <protection/>
    </xf>
    <xf numFmtId="168" fontId="70" fillId="33" borderId="11" xfId="0" applyNumberFormat="1" applyFont="1" applyFill="1" applyBorder="1" applyAlignment="1" applyProtection="1">
      <alignment horizontal="center"/>
      <protection/>
    </xf>
    <xf numFmtId="168" fontId="70" fillId="33" borderId="0" xfId="0" applyNumberFormat="1" applyFont="1" applyFill="1" applyBorder="1" applyAlignment="1" applyProtection="1">
      <alignment horizontal="center"/>
      <protection/>
    </xf>
    <xf numFmtId="168" fontId="70" fillId="16" borderId="21" xfId="0" applyNumberFormat="1" applyFont="1" applyFill="1" applyBorder="1" applyAlignment="1" applyProtection="1">
      <alignment horizontal="center" vertical="center" wrapText="1"/>
      <protection/>
    </xf>
    <xf numFmtId="168" fontId="70" fillId="16" borderId="22" xfId="0" applyNumberFormat="1" applyFont="1" applyFill="1" applyBorder="1" applyAlignment="1" applyProtection="1">
      <alignment horizontal="center" vertical="center" wrapText="1"/>
      <protection/>
    </xf>
    <xf numFmtId="168" fontId="70" fillId="16" borderId="18" xfId="0" applyNumberFormat="1" applyFont="1" applyFill="1" applyBorder="1" applyAlignment="1" applyProtection="1">
      <alignment horizontal="center" vertical="center" wrapText="1"/>
      <protection/>
    </xf>
    <xf numFmtId="168" fontId="70" fillId="16" borderId="15" xfId="0" applyNumberFormat="1" applyFont="1" applyFill="1" applyBorder="1" applyAlignment="1" applyProtection="1">
      <alignment horizontal="center" vertical="center" wrapText="1"/>
      <protection/>
    </xf>
    <xf numFmtId="168" fontId="70" fillId="16" borderId="16" xfId="0" applyNumberFormat="1" applyFont="1" applyFill="1" applyBorder="1" applyAlignment="1" applyProtection="1">
      <alignment horizontal="left" vertical="center" wrapText="1"/>
      <protection/>
    </xf>
    <xf numFmtId="168" fontId="70" fillId="16" borderId="17" xfId="0" applyNumberFormat="1" applyFont="1" applyFill="1" applyBorder="1" applyAlignment="1" applyProtection="1">
      <alignment horizontal="left" vertical="center" wrapText="1"/>
      <protection/>
    </xf>
    <xf numFmtId="168" fontId="70" fillId="16" borderId="14" xfId="0" applyNumberFormat="1" applyFont="1" applyFill="1" applyBorder="1" applyAlignment="1" applyProtection="1">
      <alignment horizontal="left" vertical="center" wrapText="1"/>
      <protection/>
    </xf>
    <xf numFmtId="168" fontId="70" fillId="16" borderId="15" xfId="0" applyNumberFormat="1" applyFont="1" applyFill="1" applyBorder="1" applyAlignment="1" applyProtection="1">
      <alignment horizontal="left" vertical="center" wrapText="1"/>
      <protection/>
    </xf>
    <xf numFmtId="171" fontId="71" fillId="33" borderId="12" xfId="0" applyNumberFormat="1" applyFont="1" applyFill="1" applyBorder="1" applyAlignment="1" applyProtection="1">
      <alignment horizontal="left" wrapText="1"/>
      <protection/>
    </xf>
    <xf numFmtId="171" fontId="71" fillId="33" borderId="13" xfId="0" applyNumberFormat="1" applyFont="1" applyFill="1" applyBorder="1" applyAlignment="1" applyProtection="1">
      <alignment horizontal="left" wrapText="1"/>
      <protection/>
    </xf>
    <xf numFmtId="168" fontId="25" fillId="33" borderId="0" xfId="47" applyNumberFormat="1" applyFont="1" applyFill="1" applyAlignment="1" applyProtection="1">
      <alignment horizontal="center"/>
      <protection/>
    </xf>
    <xf numFmtId="0" fontId="70" fillId="33" borderId="0" xfId="0" applyFont="1" applyFill="1" applyAlignment="1">
      <alignment horizontal="center"/>
    </xf>
    <xf numFmtId="171" fontId="70" fillId="33" borderId="12" xfId="0" applyNumberFormat="1" applyFont="1" applyFill="1" applyBorder="1" applyAlignment="1" applyProtection="1">
      <alignment horizontal="left" wrapText="1"/>
      <protection/>
    </xf>
    <xf numFmtId="171" fontId="70" fillId="33" borderId="13" xfId="0" applyNumberFormat="1" applyFont="1" applyFill="1" applyBorder="1" applyAlignment="1" applyProtection="1">
      <alignment horizontal="left" wrapText="1"/>
      <protection/>
    </xf>
    <xf numFmtId="0" fontId="70" fillId="33" borderId="12" xfId="0" applyFont="1" applyFill="1" applyBorder="1" applyAlignment="1" applyProtection="1">
      <alignment horizontal="left" vertical="top" wrapText="1"/>
      <protection/>
    </xf>
    <xf numFmtId="0" fontId="70" fillId="33" borderId="13" xfId="0" applyFont="1" applyFill="1" applyBorder="1" applyAlignment="1" applyProtection="1">
      <alignment horizontal="left" vertical="top" wrapText="1"/>
      <protection/>
    </xf>
    <xf numFmtId="3" fontId="71" fillId="33" borderId="12" xfId="0" applyNumberFormat="1" applyFont="1" applyFill="1" applyBorder="1" applyAlignment="1" applyProtection="1">
      <alignment horizontal="left" wrapText="1"/>
      <protection/>
    </xf>
    <xf numFmtId="3" fontId="71" fillId="33" borderId="13" xfId="0" applyNumberFormat="1" applyFont="1" applyFill="1" applyBorder="1" applyAlignment="1" applyProtection="1">
      <alignment horizontal="left" wrapText="1"/>
      <protection/>
    </xf>
    <xf numFmtId="3" fontId="70" fillId="33" borderId="12" xfId="0" applyNumberFormat="1" applyFont="1" applyFill="1" applyBorder="1" applyAlignment="1" applyProtection="1">
      <alignment horizontal="left" wrapText="1"/>
      <protection/>
    </xf>
    <xf numFmtId="3" fontId="70" fillId="33" borderId="13" xfId="0" applyNumberFormat="1" applyFont="1" applyFill="1" applyBorder="1" applyAlignment="1" applyProtection="1">
      <alignment horizontal="left" wrapText="1"/>
      <protection/>
    </xf>
    <xf numFmtId="3" fontId="71" fillId="33" borderId="12" xfId="0" applyNumberFormat="1" applyFont="1" applyFill="1" applyBorder="1" applyAlignment="1" applyProtection="1">
      <alignment wrapText="1"/>
      <protection/>
    </xf>
    <xf numFmtId="3" fontId="71" fillId="33" borderId="13" xfId="0" applyNumberFormat="1" applyFont="1" applyFill="1" applyBorder="1" applyAlignment="1" applyProtection="1">
      <alignment wrapText="1"/>
      <protection/>
    </xf>
    <xf numFmtId="3" fontId="70" fillId="33" borderId="12" xfId="0" applyNumberFormat="1" applyFont="1" applyFill="1" applyBorder="1" applyAlignment="1" applyProtection="1">
      <alignment wrapText="1"/>
      <protection/>
    </xf>
    <xf numFmtId="3" fontId="70" fillId="33" borderId="13" xfId="0" applyNumberFormat="1" applyFont="1" applyFill="1" applyBorder="1" applyAlignment="1" applyProtection="1">
      <alignment wrapText="1"/>
      <protection/>
    </xf>
    <xf numFmtId="0" fontId="70" fillId="0" borderId="0" xfId="0" applyFont="1" applyFill="1" applyAlignment="1" applyProtection="1">
      <alignment horizontal="center"/>
      <protection/>
    </xf>
    <xf numFmtId="0" fontId="70" fillId="33" borderId="0" xfId="0" applyFont="1" applyFill="1" applyBorder="1" applyAlignment="1" applyProtection="1">
      <alignment horizontal="justify" vertical="center" wrapText="1"/>
      <protection/>
    </xf>
    <xf numFmtId="0" fontId="70" fillId="33" borderId="13" xfId="0" applyFont="1" applyFill="1" applyBorder="1" applyAlignment="1" applyProtection="1">
      <alignment horizontal="justify" vertical="center" wrapText="1"/>
      <protection/>
    </xf>
    <xf numFmtId="0" fontId="70" fillId="33" borderId="12" xfId="0" applyFont="1" applyFill="1" applyBorder="1" applyAlignment="1" applyProtection="1">
      <alignment horizontal="left" vertical="center" wrapText="1"/>
      <protection/>
    </xf>
    <xf numFmtId="0" fontId="70" fillId="33" borderId="0" xfId="0" applyFont="1" applyFill="1" applyBorder="1" applyAlignment="1" applyProtection="1">
      <alignment horizontal="left" vertical="center" wrapText="1"/>
      <protection/>
    </xf>
    <xf numFmtId="0" fontId="70" fillId="33" borderId="13" xfId="0" applyFont="1" applyFill="1" applyBorder="1" applyAlignment="1" applyProtection="1">
      <alignment horizontal="left" vertical="center" wrapText="1"/>
      <protection/>
    </xf>
    <xf numFmtId="0" fontId="70" fillId="16" borderId="10" xfId="0" applyFont="1" applyFill="1" applyBorder="1" applyAlignment="1" applyProtection="1">
      <alignment horizontal="center" vertical="center"/>
      <protection/>
    </xf>
    <xf numFmtId="0" fontId="70" fillId="16" borderId="0" xfId="0" applyFont="1" applyFill="1" applyBorder="1" applyAlignment="1" applyProtection="1">
      <alignment horizontal="center" vertical="center"/>
      <protection/>
    </xf>
    <xf numFmtId="0" fontId="70" fillId="16" borderId="11" xfId="0" applyFont="1" applyFill="1" applyBorder="1" applyAlignment="1" applyProtection="1">
      <alignment horizontal="center" vertical="center"/>
      <protection/>
    </xf>
    <xf numFmtId="0" fontId="70" fillId="33" borderId="22" xfId="0" applyFont="1" applyFill="1" applyBorder="1" applyAlignment="1" applyProtection="1">
      <alignment horizontal="left" vertical="center" wrapText="1" indent="3"/>
      <protection/>
    </xf>
    <xf numFmtId="0" fontId="70" fillId="33" borderId="23" xfId="0" applyFont="1" applyFill="1" applyBorder="1" applyAlignment="1" applyProtection="1">
      <alignment horizontal="left" vertical="center" wrapText="1" indent="3"/>
      <protection/>
    </xf>
    <xf numFmtId="0" fontId="25" fillId="16" borderId="22" xfId="56" applyFont="1" applyFill="1" applyBorder="1" applyAlignment="1" applyProtection="1">
      <alignment horizontal="center" vertical="center"/>
      <protection/>
    </xf>
    <xf numFmtId="0" fontId="25" fillId="33" borderId="0" xfId="0" applyFont="1" applyFill="1" applyBorder="1" applyAlignment="1" applyProtection="1">
      <alignment vertical="top" wrapText="1"/>
      <protection/>
    </xf>
    <xf numFmtId="0" fontId="25" fillId="33" borderId="0" xfId="0" applyFont="1" applyFill="1" applyBorder="1" applyAlignment="1" applyProtection="1">
      <alignment horizontal="left" vertical="top" wrapText="1"/>
      <protection/>
    </xf>
    <xf numFmtId="0" fontId="25" fillId="33" borderId="0" xfId="56" applyFont="1" applyFill="1" applyBorder="1" applyAlignment="1" applyProtection="1">
      <alignment horizontal="center"/>
      <protection/>
    </xf>
    <xf numFmtId="0" fontId="25" fillId="0" borderId="11" xfId="0" applyNumberFormat="1" applyFont="1" applyFill="1" applyBorder="1" applyAlignment="1" applyProtection="1">
      <alignment horizontal="center"/>
      <protection/>
    </xf>
    <xf numFmtId="0" fontId="27" fillId="33" borderId="0" xfId="0" applyFont="1" applyFill="1" applyBorder="1" applyAlignment="1" applyProtection="1">
      <alignment horizontal="justify" vertical="top" wrapText="1"/>
      <protection/>
    </xf>
    <xf numFmtId="0" fontId="29" fillId="33" borderId="0" xfId="0" applyFont="1" applyFill="1" applyBorder="1" applyAlignment="1" applyProtection="1">
      <alignment horizontal="left" vertical="top" wrapText="1"/>
      <protection/>
    </xf>
    <xf numFmtId="0" fontId="70" fillId="0" borderId="10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 vertical="top" wrapText="1"/>
      <protection/>
    </xf>
    <xf numFmtId="0" fontId="29" fillId="33" borderId="0" xfId="0" applyFont="1" applyFill="1" applyBorder="1" applyAlignment="1" applyProtection="1">
      <alignment vertical="top" wrapText="1"/>
      <protection/>
    </xf>
    <xf numFmtId="0" fontId="27" fillId="33" borderId="0" xfId="0" applyFont="1" applyFill="1" applyBorder="1" applyAlignment="1" applyProtection="1">
      <alignment horizontal="left" vertical="top"/>
      <protection/>
    </xf>
    <xf numFmtId="0" fontId="27" fillId="33" borderId="11" xfId="0" applyFont="1" applyFill="1" applyBorder="1" applyAlignment="1" applyProtection="1">
      <alignment horizontal="center"/>
      <protection/>
    </xf>
    <xf numFmtId="0" fontId="27" fillId="33" borderId="11" xfId="0" applyFont="1" applyFill="1" applyBorder="1" applyAlignment="1" applyProtection="1">
      <alignment horizontal="center" vertical="center"/>
      <protection/>
    </xf>
    <xf numFmtId="0" fontId="25" fillId="33" borderId="0" xfId="15" applyNumberFormat="1" applyFont="1" applyFill="1" applyBorder="1" applyAlignment="1" applyProtection="1">
      <alignment horizontal="center" vertical="center"/>
      <protection/>
    </xf>
    <xf numFmtId="0" fontId="25" fillId="33" borderId="0" xfId="0" applyFont="1" applyFill="1" applyBorder="1" applyAlignment="1" applyProtection="1">
      <alignment horizontal="center"/>
      <protection/>
    </xf>
    <xf numFmtId="0" fontId="27" fillId="16" borderId="16" xfId="56" applyFont="1" applyFill="1" applyBorder="1" applyAlignment="1" applyProtection="1">
      <alignment horizontal="center" vertical="center"/>
      <protection/>
    </xf>
    <xf numFmtId="0" fontId="27" fillId="16" borderId="12" xfId="56" applyFont="1" applyFill="1" applyBorder="1" applyAlignment="1" applyProtection="1">
      <alignment horizontal="center" vertical="center"/>
      <protection/>
    </xf>
    <xf numFmtId="0" fontId="25" fillId="16" borderId="10" xfId="56" applyFont="1" applyFill="1" applyBorder="1" applyAlignment="1" applyProtection="1">
      <alignment horizontal="center" vertical="center"/>
      <protection/>
    </xf>
    <xf numFmtId="0" fontId="25" fillId="16" borderId="0" xfId="56" applyFont="1" applyFill="1" applyBorder="1" applyAlignment="1" applyProtection="1">
      <alignment horizontal="center" vertical="center"/>
      <protection/>
    </xf>
    <xf numFmtId="0" fontId="25" fillId="16" borderId="10" xfId="56" applyFont="1" applyFill="1" applyBorder="1" applyAlignment="1" applyProtection="1">
      <alignment horizontal="right" vertical="top"/>
      <protection/>
    </xf>
    <xf numFmtId="0" fontId="25" fillId="16" borderId="0" xfId="56" applyFont="1" applyFill="1" applyBorder="1" applyAlignment="1" applyProtection="1">
      <alignment horizontal="right" vertical="top"/>
      <protection/>
    </xf>
    <xf numFmtId="0" fontId="70" fillId="0" borderId="11" xfId="0" applyFont="1" applyBorder="1" applyAlignment="1" applyProtection="1">
      <alignment horizontal="center"/>
      <protection/>
    </xf>
    <xf numFmtId="0" fontId="70" fillId="33" borderId="21" xfId="0" applyFont="1" applyFill="1" applyBorder="1" applyAlignment="1" applyProtection="1">
      <alignment vertical="center" wrapText="1"/>
      <protection/>
    </xf>
    <xf numFmtId="0" fontId="70" fillId="33" borderId="23" xfId="0" applyFont="1" applyFill="1" applyBorder="1" applyAlignment="1" applyProtection="1">
      <alignment vertical="center" wrapText="1"/>
      <protection/>
    </xf>
    <xf numFmtId="0" fontId="70" fillId="33" borderId="21" xfId="0" applyFont="1" applyFill="1" applyBorder="1" applyAlignment="1" applyProtection="1">
      <alignment horizontal="left" vertical="center" wrapText="1" indent="2"/>
      <protection/>
    </xf>
    <xf numFmtId="0" fontId="70" fillId="33" borderId="23" xfId="0" applyFont="1" applyFill="1" applyBorder="1" applyAlignment="1" applyProtection="1">
      <alignment horizontal="left" vertical="center" wrapText="1" indent="2"/>
      <protection/>
    </xf>
    <xf numFmtId="0" fontId="70" fillId="33" borderId="14" xfId="0" applyFont="1" applyFill="1" applyBorder="1" applyAlignment="1" applyProtection="1">
      <alignment horizontal="left" vertical="center" wrapText="1" indent="2"/>
      <protection/>
    </xf>
    <xf numFmtId="0" fontId="70" fillId="33" borderId="15" xfId="0" applyFont="1" applyFill="1" applyBorder="1" applyAlignment="1" applyProtection="1">
      <alignment horizontal="left" vertical="center" wrapText="1" indent="2"/>
      <protection/>
    </xf>
    <xf numFmtId="0" fontId="70" fillId="33" borderId="41" xfId="0" applyFont="1" applyFill="1" applyBorder="1" applyAlignment="1" applyProtection="1">
      <alignment horizontal="left" vertical="top" wrapText="1" indent="2"/>
      <protection/>
    </xf>
    <xf numFmtId="0" fontId="70" fillId="33" borderId="42" xfId="0" applyFont="1" applyFill="1" applyBorder="1" applyAlignment="1" applyProtection="1">
      <alignment horizontal="left" vertical="top" wrapText="1" indent="2"/>
      <protection/>
    </xf>
    <xf numFmtId="0" fontId="70" fillId="33" borderId="21" xfId="0" applyFont="1" applyFill="1" applyBorder="1" applyAlignment="1" applyProtection="1">
      <alignment horizontal="left" vertical="center" wrapText="1" indent="1"/>
      <protection/>
    </xf>
    <xf numFmtId="0" fontId="70" fillId="33" borderId="23" xfId="0" applyFont="1" applyFill="1" applyBorder="1" applyAlignment="1" applyProtection="1">
      <alignment horizontal="left" vertical="center" wrapText="1" indent="1"/>
      <protection/>
    </xf>
    <xf numFmtId="0" fontId="39" fillId="33" borderId="0" xfId="0" applyFont="1" applyFill="1" applyBorder="1" applyAlignment="1" applyProtection="1">
      <alignment horizontal="left" vertical="top" wrapText="1"/>
      <protection/>
    </xf>
    <xf numFmtId="0" fontId="82" fillId="33" borderId="0" xfId="0" applyFont="1" applyFill="1" applyAlignment="1" applyProtection="1">
      <alignment horizontal="left" wrapText="1"/>
      <protection/>
    </xf>
    <xf numFmtId="0" fontId="82" fillId="33" borderId="0" xfId="0" applyFont="1" applyFill="1" applyAlignment="1" applyProtection="1">
      <alignment horizontal="left"/>
      <protection/>
    </xf>
    <xf numFmtId="3" fontId="71" fillId="33" borderId="12" xfId="0" applyNumberFormat="1" applyFont="1" applyFill="1" applyBorder="1" applyAlignment="1">
      <alignment horizontal="left" vertical="center" wrapText="1"/>
    </xf>
    <xf numFmtId="3" fontId="71" fillId="33" borderId="13" xfId="0" applyNumberFormat="1" applyFont="1" applyFill="1" applyBorder="1" applyAlignment="1">
      <alignment horizontal="left" vertical="center" wrapText="1"/>
    </xf>
    <xf numFmtId="3" fontId="71" fillId="33" borderId="12" xfId="0" applyNumberFormat="1" applyFont="1" applyFill="1" applyBorder="1" applyAlignment="1">
      <alignment horizontal="left" wrapText="1"/>
    </xf>
    <xf numFmtId="3" fontId="71" fillId="33" borderId="13" xfId="0" applyNumberFormat="1" applyFont="1" applyFill="1" applyBorder="1" applyAlignment="1">
      <alignment horizontal="left" wrapText="1"/>
    </xf>
    <xf numFmtId="0" fontId="70" fillId="33" borderId="0" xfId="0" applyFont="1" applyFill="1" applyBorder="1" applyAlignment="1">
      <alignment horizontal="center" wrapText="1"/>
    </xf>
    <xf numFmtId="0" fontId="70" fillId="33" borderId="0" xfId="0" applyFont="1" applyFill="1" applyBorder="1" applyAlignment="1" applyProtection="1">
      <alignment horizontal="center" wrapText="1"/>
      <protection/>
    </xf>
    <xf numFmtId="0" fontId="70" fillId="33" borderId="11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1" fillId="33" borderId="12" xfId="0" applyFont="1" applyFill="1" applyBorder="1" applyAlignment="1">
      <alignment horizontal="left" vertical="center" wrapText="1"/>
    </xf>
    <xf numFmtId="0" fontId="71" fillId="33" borderId="13" xfId="0" applyFont="1" applyFill="1" applyBorder="1" applyAlignment="1">
      <alignment horizontal="left" vertical="center" wrapText="1"/>
    </xf>
    <xf numFmtId="0" fontId="70" fillId="33" borderId="10" xfId="0" applyFont="1" applyFill="1" applyBorder="1" applyAlignment="1">
      <alignment horizontal="center" vertical="center"/>
    </xf>
    <xf numFmtId="170" fontId="70" fillId="33" borderId="0" xfId="0" applyNumberFormat="1" applyFont="1" applyFill="1" applyBorder="1" applyAlignment="1">
      <alignment horizontal="center"/>
    </xf>
    <xf numFmtId="170" fontId="70" fillId="33" borderId="10" xfId="0" applyNumberFormat="1" applyFont="1" applyFill="1" applyBorder="1" applyAlignment="1">
      <alignment horizontal="center"/>
    </xf>
    <xf numFmtId="0" fontId="71" fillId="33" borderId="12" xfId="0" applyFont="1" applyFill="1" applyBorder="1" applyAlignment="1" applyProtection="1">
      <alignment horizontal="center"/>
      <protection/>
    </xf>
    <xf numFmtId="0" fontId="71" fillId="33" borderId="0" xfId="0" applyFont="1" applyFill="1" applyBorder="1" applyAlignment="1" applyProtection="1">
      <alignment horizontal="center"/>
      <protection/>
    </xf>
    <xf numFmtId="0" fontId="70" fillId="16" borderId="21" xfId="0" applyFont="1" applyFill="1" applyBorder="1" applyAlignment="1" applyProtection="1">
      <alignment horizontal="center"/>
      <protection/>
    </xf>
    <xf numFmtId="0" fontId="70" fillId="16" borderId="22" xfId="0" applyFont="1" applyFill="1" applyBorder="1" applyAlignment="1" applyProtection="1">
      <alignment horizontal="center"/>
      <protection/>
    </xf>
    <xf numFmtId="0" fontId="70" fillId="16" borderId="23" xfId="0" applyFont="1" applyFill="1" applyBorder="1" applyAlignment="1" applyProtection="1">
      <alignment horizontal="center"/>
      <protection/>
    </xf>
    <xf numFmtId="0" fontId="40" fillId="33" borderId="0" xfId="0" applyFont="1" applyFill="1" applyBorder="1" applyAlignment="1" applyProtection="1">
      <alignment horizontal="center" vertical="top" wrapText="1"/>
      <protection/>
    </xf>
    <xf numFmtId="3" fontId="71" fillId="4" borderId="0" xfId="0" applyNumberFormat="1" applyFont="1" applyFill="1" applyBorder="1" applyAlignment="1" applyProtection="1">
      <alignment horizontal="center"/>
      <protection locked="0"/>
    </xf>
    <xf numFmtId="0" fontId="70" fillId="33" borderId="14" xfId="0" applyFont="1" applyFill="1" applyBorder="1" applyAlignment="1" applyProtection="1">
      <alignment horizontal="center"/>
      <protection/>
    </xf>
    <xf numFmtId="0" fontId="70" fillId="16" borderId="16" xfId="0" applyFont="1" applyFill="1" applyBorder="1" applyAlignment="1" applyProtection="1">
      <alignment horizontal="center"/>
      <protection/>
    </xf>
    <xf numFmtId="0" fontId="70" fillId="16" borderId="10" xfId="0" applyFont="1" applyFill="1" applyBorder="1" applyAlignment="1" applyProtection="1">
      <alignment horizontal="center"/>
      <protection/>
    </xf>
    <xf numFmtId="0" fontId="70" fillId="16" borderId="17" xfId="0" applyFont="1" applyFill="1" applyBorder="1" applyAlignment="1" applyProtection="1">
      <alignment horizontal="center"/>
      <protection/>
    </xf>
    <xf numFmtId="3" fontId="70" fillId="33" borderId="11" xfId="0" applyNumberFormat="1" applyFont="1" applyFill="1" applyBorder="1" applyAlignment="1" applyProtection="1">
      <alignment horizontal="center"/>
      <protection/>
    </xf>
    <xf numFmtId="3" fontId="70" fillId="33" borderId="15" xfId="0" applyNumberFormat="1" applyFont="1" applyFill="1" applyBorder="1" applyAlignment="1" applyProtection="1">
      <alignment horizontal="center"/>
      <protection/>
    </xf>
    <xf numFmtId="3" fontId="71" fillId="33" borderId="0" xfId="0" applyNumberFormat="1" applyFont="1" applyFill="1" applyBorder="1" applyAlignment="1" applyProtection="1">
      <alignment horizontal="center"/>
      <protection/>
    </xf>
    <xf numFmtId="3" fontId="71" fillId="33" borderId="13" xfId="0" applyNumberFormat="1" applyFont="1" applyFill="1" applyBorder="1" applyAlignment="1" applyProtection="1">
      <alignment horizontal="center"/>
      <protection/>
    </xf>
    <xf numFmtId="0" fontId="71" fillId="0" borderId="11" xfId="0" applyFont="1" applyBorder="1" applyAlignment="1" applyProtection="1">
      <alignment horizontal="center"/>
      <protection/>
    </xf>
    <xf numFmtId="0" fontId="71" fillId="4" borderId="12" xfId="0" applyFont="1" applyFill="1" applyBorder="1" applyAlignment="1" applyProtection="1">
      <alignment horizontal="center"/>
      <protection locked="0"/>
    </xf>
    <xf numFmtId="0" fontId="71" fillId="4" borderId="0" xfId="0" applyFont="1" applyFill="1" applyBorder="1" applyAlignment="1" applyProtection="1">
      <alignment horizontal="center"/>
      <protection locked="0"/>
    </xf>
    <xf numFmtId="0" fontId="71" fillId="33" borderId="11" xfId="0" applyFont="1" applyFill="1" applyBorder="1" applyAlignment="1" applyProtection="1">
      <alignment horizontal="center"/>
      <protection/>
    </xf>
    <xf numFmtId="0" fontId="71" fillId="33" borderId="14" xfId="0" applyFont="1" applyFill="1" applyBorder="1" applyAlignment="1" applyProtection="1">
      <alignment horizontal="center"/>
      <protection/>
    </xf>
    <xf numFmtId="0" fontId="71" fillId="33" borderId="15" xfId="0" applyFont="1" applyFill="1" applyBorder="1" applyAlignment="1" applyProtection="1">
      <alignment horizontal="center"/>
      <protection/>
    </xf>
    <xf numFmtId="0" fontId="70" fillId="16" borderId="12" xfId="0" applyFont="1" applyFill="1" applyBorder="1" applyAlignment="1" applyProtection="1">
      <alignment horizontal="center"/>
      <protection/>
    </xf>
    <xf numFmtId="0" fontId="70" fillId="16" borderId="0" xfId="0" applyFont="1" applyFill="1" applyBorder="1" applyAlignment="1" applyProtection="1">
      <alignment horizontal="center"/>
      <protection/>
    </xf>
    <xf numFmtId="0" fontId="70" fillId="16" borderId="13" xfId="0" applyFont="1" applyFill="1" applyBorder="1" applyAlignment="1" applyProtection="1">
      <alignment horizontal="center"/>
      <protection/>
    </xf>
    <xf numFmtId="0" fontId="71" fillId="4" borderId="16" xfId="0" applyFont="1" applyFill="1" applyBorder="1" applyAlignment="1" applyProtection="1">
      <alignment horizontal="center"/>
      <protection locked="0"/>
    </xf>
    <xf numFmtId="0" fontId="71" fillId="4" borderId="10" xfId="0" applyFont="1" applyFill="1" applyBorder="1" applyAlignment="1" applyProtection="1">
      <alignment horizontal="center"/>
      <protection locked="0"/>
    </xf>
    <xf numFmtId="3" fontId="71" fillId="4" borderId="10" xfId="0" applyNumberFormat="1" applyFont="1" applyFill="1" applyBorder="1" applyAlignment="1" applyProtection="1">
      <alignment horizontal="center"/>
      <protection locked="0"/>
    </xf>
    <xf numFmtId="3" fontId="71" fillId="33" borderId="10" xfId="0" applyNumberFormat="1" applyFont="1" applyFill="1" applyBorder="1" applyAlignment="1" applyProtection="1">
      <alignment horizontal="center"/>
      <protection/>
    </xf>
    <xf numFmtId="3" fontId="71" fillId="33" borderId="17" xfId="0" applyNumberFormat="1" applyFont="1" applyFill="1" applyBorder="1" applyAlignment="1" applyProtection="1">
      <alignment horizontal="center"/>
      <protection/>
    </xf>
    <xf numFmtId="0" fontId="70" fillId="16" borderId="24" xfId="56" applyFont="1" applyFill="1" applyBorder="1" applyAlignment="1" applyProtection="1">
      <alignment horizontal="center"/>
      <protection/>
    </xf>
    <xf numFmtId="0" fontId="79" fillId="33" borderId="43" xfId="0" applyFont="1" applyFill="1" applyBorder="1" applyAlignment="1">
      <alignment horizontal="center" vertical="center"/>
    </xf>
    <xf numFmtId="0" fontId="79" fillId="33" borderId="39" xfId="0" applyFont="1" applyFill="1" applyBorder="1" applyAlignment="1">
      <alignment horizontal="center" vertical="center"/>
    </xf>
    <xf numFmtId="0" fontId="79" fillId="33" borderId="37" xfId="0" applyFont="1" applyFill="1" applyBorder="1" applyAlignment="1">
      <alignment horizontal="center" vertical="center"/>
    </xf>
    <xf numFmtId="0" fontId="79" fillId="33" borderId="28" xfId="0" applyFont="1" applyFill="1" applyBorder="1" applyAlignment="1">
      <alignment horizontal="center" vertical="center"/>
    </xf>
    <xf numFmtId="0" fontId="79" fillId="33" borderId="0" xfId="0" applyFont="1" applyFill="1" applyBorder="1" applyAlignment="1">
      <alignment horizontal="center" vertical="center"/>
    </xf>
    <xf numFmtId="0" fontId="79" fillId="33" borderId="29" xfId="0" applyFont="1" applyFill="1" applyBorder="1" applyAlignment="1">
      <alignment horizontal="center" vertical="center"/>
    </xf>
    <xf numFmtId="0" fontId="79" fillId="33" borderId="11" xfId="0" applyFont="1" applyFill="1" applyBorder="1" applyAlignment="1">
      <alignment horizontal="center" vertical="center"/>
    </xf>
    <xf numFmtId="0" fontId="79" fillId="33" borderId="35" xfId="0" applyFont="1" applyFill="1" applyBorder="1" applyAlignment="1">
      <alignment horizontal="center" vertical="center"/>
    </xf>
    <xf numFmtId="0" fontId="79" fillId="33" borderId="34" xfId="0" applyFont="1" applyFill="1" applyBorder="1" applyAlignment="1">
      <alignment horizontal="center" vertical="center"/>
    </xf>
    <xf numFmtId="0" fontId="79" fillId="33" borderId="31" xfId="0" applyFont="1" applyFill="1" applyBorder="1" applyAlignment="1">
      <alignment horizontal="center" vertical="center"/>
    </xf>
    <xf numFmtId="0" fontId="84" fillId="36" borderId="43" xfId="0" applyFont="1" applyFill="1" applyBorder="1" applyAlignment="1">
      <alignment vertical="center" wrapText="1"/>
    </xf>
    <xf numFmtId="0" fontId="84" fillId="36" borderId="39" xfId="0" applyFont="1" applyFill="1" applyBorder="1" applyAlignment="1">
      <alignment vertical="center" wrapText="1"/>
    </xf>
    <xf numFmtId="0" fontId="84" fillId="36" borderId="37" xfId="0" applyFont="1" applyFill="1" applyBorder="1" applyAlignment="1">
      <alignment vertical="center" wrapText="1"/>
    </xf>
    <xf numFmtId="0" fontId="84" fillId="36" borderId="28" xfId="0" applyFont="1" applyFill="1" applyBorder="1" applyAlignment="1">
      <alignment vertical="center" wrapText="1"/>
    </xf>
    <xf numFmtId="0" fontId="84" fillId="36" borderId="0" xfId="0" applyFont="1" applyFill="1" applyBorder="1" applyAlignment="1">
      <alignment vertical="center" wrapText="1"/>
    </xf>
    <xf numFmtId="0" fontId="84" fillId="36" borderId="29" xfId="0" applyFont="1" applyFill="1" applyBorder="1" applyAlignment="1">
      <alignment vertical="center" wrapText="1"/>
    </xf>
    <xf numFmtId="0" fontId="84" fillId="36" borderId="35" xfId="0" applyFont="1" applyFill="1" applyBorder="1" applyAlignment="1">
      <alignment vertical="center" wrapText="1"/>
    </xf>
    <xf numFmtId="0" fontId="84" fillId="36" borderId="34" xfId="0" applyFont="1" applyFill="1" applyBorder="1" applyAlignment="1">
      <alignment vertical="center" wrapText="1"/>
    </xf>
    <xf numFmtId="0" fontId="84" fillId="36" borderId="31" xfId="0" applyFont="1" applyFill="1" applyBorder="1" applyAlignment="1">
      <alignment vertical="center" wrapText="1"/>
    </xf>
    <xf numFmtId="0" fontId="84" fillId="36" borderId="26" xfId="0" applyFont="1" applyFill="1" applyBorder="1" applyAlignment="1">
      <alignment horizontal="center" vertical="center"/>
    </xf>
    <xf numFmtId="0" fontId="84" fillId="36" borderId="32" xfId="0" applyFont="1" applyFill="1" applyBorder="1" applyAlignment="1">
      <alignment horizontal="center" vertical="center"/>
    </xf>
    <xf numFmtId="0" fontId="84" fillId="36" borderId="44" xfId="0" applyFont="1" applyFill="1" applyBorder="1" applyAlignment="1">
      <alignment horizontal="center" vertical="center"/>
    </xf>
    <xf numFmtId="0" fontId="84" fillId="36" borderId="45" xfId="0" applyFont="1" applyFill="1" applyBorder="1" applyAlignment="1">
      <alignment horizontal="center" vertical="center"/>
    </xf>
    <xf numFmtId="0" fontId="84" fillId="36" borderId="37" xfId="0" applyFont="1" applyFill="1" applyBorder="1" applyAlignment="1">
      <alignment horizontal="center" vertical="center" wrapText="1"/>
    </xf>
    <xf numFmtId="0" fontId="84" fillId="36" borderId="29" xfId="0" applyFont="1" applyFill="1" applyBorder="1" applyAlignment="1">
      <alignment horizontal="center" vertical="center" wrapText="1"/>
    </xf>
    <xf numFmtId="0" fontId="84" fillId="36" borderId="31" xfId="0" applyFont="1" applyFill="1" applyBorder="1" applyAlignment="1">
      <alignment horizontal="center" vertical="center" wrapText="1"/>
    </xf>
    <xf numFmtId="0" fontId="84" fillId="36" borderId="38" xfId="0" applyFont="1" applyFill="1" applyBorder="1" applyAlignment="1">
      <alignment horizontal="center" vertical="center" wrapText="1"/>
    </xf>
    <xf numFmtId="0" fontId="84" fillId="36" borderId="36" xfId="0" applyFont="1" applyFill="1" applyBorder="1" applyAlignment="1">
      <alignment horizontal="center" vertical="center" wrapText="1"/>
    </xf>
    <xf numFmtId="0" fontId="84" fillId="36" borderId="30" xfId="0" applyFont="1" applyFill="1" applyBorder="1" applyAlignment="1">
      <alignment horizontal="center" vertical="center" wrapText="1"/>
    </xf>
    <xf numFmtId="0" fontId="84" fillId="36" borderId="26" xfId="0" applyFont="1" applyFill="1" applyBorder="1" applyAlignment="1">
      <alignment horizontal="center" vertical="center" wrapText="1"/>
    </xf>
    <xf numFmtId="0" fontId="84" fillId="36" borderId="44" xfId="0" applyFont="1" applyFill="1" applyBorder="1" applyAlignment="1">
      <alignment horizontal="center" vertical="center" wrapText="1"/>
    </xf>
    <xf numFmtId="0" fontId="84" fillId="36" borderId="45" xfId="0" applyFont="1" applyFill="1" applyBorder="1" applyAlignment="1">
      <alignment horizontal="center" vertical="center" wrapText="1"/>
    </xf>
    <xf numFmtId="0" fontId="84" fillId="37" borderId="26" xfId="0" applyFont="1" applyFill="1" applyBorder="1" applyAlignment="1">
      <alignment vertical="center" wrapText="1"/>
    </xf>
    <xf numFmtId="0" fontId="84" fillId="37" borderId="32" xfId="0" applyFont="1" applyFill="1" applyBorder="1" applyAlignment="1">
      <alignment vertical="center" wrapText="1"/>
    </xf>
    <xf numFmtId="0" fontId="84" fillId="36" borderId="26" xfId="0" applyFont="1" applyFill="1" applyBorder="1" applyAlignment="1">
      <alignment vertical="center" wrapText="1"/>
    </xf>
    <xf numFmtId="0" fontId="84" fillId="36" borderId="32" xfId="0" applyFont="1" applyFill="1" applyBorder="1" applyAlignment="1">
      <alignment vertical="center" wrapText="1"/>
    </xf>
    <xf numFmtId="0" fontId="84" fillId="21" borderId="32" xfId="0" applyFont="1" applyFill="1" applyBorder="1" applyAlignment="1">
      <alignment vertical="center" wrapText="1"/>
    </xf>
    <xf numFmtId="0" fontId="83" fillId="33" borderId="0" xfId="0" applyFont="1" applyFill="1" applyBorder="1" applyAlignment="1">
      <alignment horizontal="center"/>
    </xf>
    <xf numFmtId="0" fontId="84" fillId="0" borderId="32" xfId="0" applyFont="1" applyBorder="1" applyAlignment="1">
      <alignment vertical="center" wrapText="1"/>
    </xf>
    <xf numFmtId="0" fontId="84" fillId="0" borderId="44" xfId="0" applyFont="1" applyBorder="1" applyAlignment="1">
      <alignment vertical="center" wrapText="1"/>
    </xf>
    <xf numFmtId="0" fontId="79" fillId="33" borderId="0" xfId="0" applyFont="1" applyFill="1" applyBorder="1" applyAlignment="1">
      <alignment horizontal="center"/>
    </xf>
    <xf numFmtId="0" fontId="84" fillId="37" borderId="40" xfId="0" applyFont="1" applyFill="1" applyBorder="1" applyAlignment="1">
      <alignment vertical="center" wrapText="1"/>
    </xf>
    <xf numFmtId="0" fontId="80" fillId="36" borderId="26" xfId="0" applyFont="1" applyFill="1" applyBorder="1" applyAlignment="1">
      <alignment vertical="center" wrapText="1"/>
    </xf>
    <xf numFmtId="0" fontId="80" fillId="36" borderId="32" xfId="0" applyFont="1" applyFill="1" applyBorder="1" applyAlignment="1">
      <alignment vertical="center" wrapText="1"/>
    </xf>
    <xf numFmtId="0" fontId="80" fillId="36" borderId="40" xfId="0" applyFont="1" applyFill="1" applyBorder="1" applyAlignment="1">
      <alignment vertical="center" wrapText="1"/>
    </xf>
    <xf numFmtId="43" fontId="50" fillId="34" borderId="0" xfId="50" applyFont="1" applyFill="1" applyAlignment="1" applyProtection="1">
      <alignment horizontal="center"/>
      <protection/>
    </xf>
    <xf numFmtId="0" fontId="50" fillId="0" borderId="0" xfId="0" applyFont="1" applyFill="1" applyAlignment="1" applyProtection="1">
      <alignment horizontal="center"/>
      <protection/>
    </xf>
  </cellXfs>
  <cellStyles count="5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4591050</xdr:colOff>
      <xdr:row>1</xdr:row>
      <xdr:rowOff>276225</xdr:rowOff>
    </xdr:from>
    <xdr:to>
      <xdr:col>3</xdr:col>
      <xdr:colOff>5753100</xdr:colOff>
      <xdr:row>4</xdr:row>
      <xdr:rowOff>152400</xdr:rowOff>
    </xdr:to>
    <xdr:pic>
      <xdr:nvPicPr>
        <xdr:cNvPr id="1" name="3 Imagen" descr="queretaro.jpg"/>
        <xdr:cNvPicPr preferRelativeResize="1">
          <a:picLocks noChangeAspect="1"/>
        </xdr:cNvPicPr>
      </xdr:nvPicPr>
      <xdr:blipFill>
        <a:blip r:embed="rId1"/>
        <a:srcRect b="29180"/>
        <a:stretch>
          <a:fillRect/>
        </a:stretch>
      </xdr:blipFill>
      <xdr:spPr>
        <a:xfrm>
          <a:off x="11649075" y="466725"/>
          <a:ext cx="11620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43</xdr:row>
      <xdr:rowOff>0</xdr:rowOff>
    </xdr:from>
    <xdr:to>
      <xdr:col>4</xdr:col>
      <xdr:colOff>1190625</xdr:colOff>
      <xdr:row>43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3933825" y="6667500"/>
          <a:ext cx="2647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1676400</xdr:colOff>
      <xdr:row>80</xdr:row>
      <xdr:rowOff>66675</xdr:rowOff>
    </xdr:from>
    <xdr:to>
      <xdr:col>2</xdr:col>
      <xdr:colOff>4133850</xdr:colOff>
      <xdr:row>85</xdr:row>
      <xdr:rowOff>104775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2047875" y="26679525"/>
          <a:ext cx="24574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JOSÉ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LOZANO VACA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 DE DEPARTAMENTO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DEPARTAMENTO DE RECURSOS FINANCIEROS</a:t>
          </a:r>
        </a:p>
      </xdr:txBody>
    </xdr:sp>
    <xdr:clientData/>
  </xdr:twoCellAnchor>
  <xdr:twoCellAnchor>
    <xdr:from>
      <xdr:col>2</xdr:col>
      <xdr:colOff>5162550</xdr:colOff>
      <xdr:row>79</xdr:row>
      <xdr:rowOff>57150</xdr:rowOff>
    </xdr:from>
    <xdr:to>
      <xdr:col>4</xdr:col>
      <xdr:colOff>352425</xdr:colOff>
      <xdr:row>85</xdr:row>
      <xdr:rowOff>123825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5534025" y="26479500"/>
          <a:ext cx="246697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RICARDO SALVADOR BACA MUÑOZ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DIRECCION DE ADMINISTRACION</a:t>
          </a:r>
        </a:p>
      </xdr:txBody>
    </xdr:sp>
    <xdr:clientData/>
  </xdr:twoCellAnchor>
  <xdr:twoCellAnchor>
    <xdr:from>
      <xdr:col>4</xdr:col>
      <xdr:colOff>2667000</xdr:colOff>
      <xdr:row>80</xdr:row>
      <xdr:rowOff>57150</xdr:rowOff>
    </xdr:from>
    <xdr:to>
      <xdr:col>5</xdr:col>
      <xdr:colOff>1295400</xdr:colOff>
      <xdr:row>87</xdr:row>
      <xdr:rowOff>76200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10315575" y="26650950"/>
          <a:ext cx="239077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NG. GILBERTO ALVARADEJO GARCIA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SUBCOORDINADOR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SUBCOORDINACION DE GESTION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ADMINISTRATIVA</a:t>
          </a:r>
        </a:p>
      </xdr:txBody>
    </xdr:sp>
    <xdr:clientData/>
  </xdr:twoCellAnchor>
  <xdr:twoCellAnchor>
    <xdr:from>
      <xdr:col>6</xdr:col>
      <xdr:colOff>733425</xdr:colOff>
      <xdr:row>80</xdr:row>
      <xdr:rowOff>57150</xdr:rowOff>
    </xdr:from>
    <xdr:to>
      <xdr:col>9</xdr:col>
      <xdr:colOff>352425</xdr:colOff>
      <xdr:row>86</xdr:row>
      <xdr:rowOff>142875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13754100" y="26650950"/>
          <a:ext cx="30384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ENRIQUE DE ECHAVARRI LARY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COORDINADOR GENERAL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COORDINACION GENERAL DE USEBEQ</a:t>
          </a:r>
        </a:p>
      </xdr:txBody>
    </xdr:sp>
    <xdr:clientData/>
  </xdr:twoCellAnchor>
  <xdr:twoCellAnchor editAs="oneCell">
    <xdr:from>
      <xdr:col>0</xdr:col>
      <xdr:colOff>66675</xdr:colOff>
      <xdr:row>1</xdr:row>
      <xdr:rowOff>9525</xdr:rowOff>
    </xdr:from>
    <xdr:to>
      <xdr:col>2</xdr:col>
      <xdr:colOff>1476375</xdr:colOff>
      <xdr:row>4</xdr:row>
      <xdr:rowOff>142875</xdr:rowOff>
    </xdr:to>
    <xdr:pic>
      <xdr:nvPicPr>
        <xdr:cNvPr id="5" name="2 Imagen" descr="https://gm1.ggpht.com/PAbE4bvP1P51ibluCYcQPO6mtQYWbsfHpM-aDeVxVULwxNjJ13N48xd605yzxEdjJrWy_70QIbpIluIVY3u_jAsju7TVYUbG6LJzXP48xNujoCDxy2vdwpiNHNH9_jrdbM6i-4KQgSJ7vBfztI2ho-X1vzxZ_5rQpICfwb99rAuiD5GwqjWYfp4WHZ-KBavZ7aDWcQFN1FX6CIusv5VXSDkMsSQK9amNB_O8avl9yF8wuqcfbPSjkaLhJs2Rw6wCn2xaRR9S2IYcYi6lRpT2HKbaTz9zB6t6G8MBKKbG7KCFOZTlmmscTCScgrEzBEDHddKtI4JtCHw731F-SZuGoR0OyG8zXp4sIRnB2D06AjyJ_Sd8vl6JrlIM0SGIZeibHAj7ABygAGtXHBVa0Buiv5hjb1cKBmd2NvYpVUd1_msoov8gp2WOL3IbXupCjZ7JlC6c0l8pdV9nkmMVZE8HKsqMRQzzV1A-CbiDE61FppDnwDGKSkV6HVOoaGr9Ng6vNVW4sRX6n7wg-nJT3Jk6gWS4yFnys22M7zHttzQTacLgG2Ely6AydLg35QlGTsNZYHLpk_UQbVnRij04KslAi8CKaPB3FG2Duo-cZQdBt25SFdLwUzuegy9Djge9mameSj6Vt5yHEXYfDOKbzl1ZGjQc0FT6CKx9fd2Ej_IFvUYPKnJ9CSZLAdfQ-sLfNEkvrUNFyo2NXeC587xHSTY3UXqeiw=w400-h136-l75-f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71450"/>
          <a:ext cx="1781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142875</xdr:rowOff>
    </xdr:from>
    <xdr:to>
      <xdr:col>9</xdr:col>
      <xdr:colOff>0</xdr:colOff>
      <xdr:row>10</xdr:row>
      <xdr:rowOff>19050</xdr:rowOff>
    </xdr:to>
    <xdr:sp>
      <xdr:nvSpPr>
        <xdr:cNvPr id="1" name="Rectángulo redondeado 1"/>
        <xdr:cNvSpPr>
          <a:spLocks/>
        </xdr:cNvSpPr>
      </xdr:nvSpPr>
      <xdr:spPr>
        <a:xfrm>
          <a:off x="9953625" y="1209675"/>
          <a:ext cx="0" cy="5524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28575</xdr:rowOff>
    </xdr:from>
    <xdr:to>
      <xdr:col>9</xdr:col>
      <xdr:colOff>0</xdr:colOff>
      <xdr:row>9</xdr:row>
      <xdr:rowOff>371475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953625" y="1247775"/>
          <a:ext cx="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Pago de Comisiones y demás costos asociados durante el Periodo (j)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</xdr:row>
      <xdr:rowOff>142875</xdr:rowOff>
    </xdr:from>
    <xdr:to>
      <xdr:col>8</xdr:col>
      <xdr:colOff>0</xdr:colOff>
      <xdr:row>11</xdr:row>
      <xdr:rowOff>19050</xdr:rowOff>
    </xdr:to>
    <xdr:sp>
      <xdr:nvSpPr>
        <xdr:cNvPr id="1" name="Rectángulo redondeado 1"/>
        <xdr:cNvSpPr>
          <a:spLocks/>
        </xdr:cNvSpPr>
      </xdr:nvSpPr>
      <xdr:spPr>
        <a:xfrm>
          <a:off x="10191750" y="1362075"/>
          <a:ext cx="0" cy="60007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28575</xdr:rowOff>
    </xdr:from>
    <xdr:to>
      <xdr:col>8</xdr:col>
      <xdr:colOff>0</xdr:colOff>
      <xdr:row>10</xdr:row>
      <xdr:rowOff>419100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0191750" y="1400175"/>
          <a:ext cx="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Pago de Comisiones y demás costos asociados durante el Periodo (j)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142875</xdr:rowOff>
    </xdr:from>
    <xdr:to>
      <xdr:col>9</xdr:col>
      <xdr:colOff>0</xdr:colOff>
      <xdr:row>11</xdr:row>
      <xdr:rowOff>19050</xdr:rowOff>
    </xdr:to>
    <xdr:sp>
      <xdr:nvSpPr>
        <xdr:cNvPr id="1" name="Rectángulo redondeado 1"/>
        <xdr:cNvSpPr>
          <a:spLocks/>
        </xdr:cNvSpPr>
      </xdr:nvSpPr>
      <xdr:spPr>
        <a:xfrm>
          <a:off x="10915650" y="1362075"/>
          <a:ext cx="0" cy="52387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28575</xdr:rowOff>
    </xdr:from>
    <xdr:to>
      <xdr:col>9</xdr:col>
      <xdr:colOff>0</xdr:colOff>
      <xdr:row>10</xdr:row>
      <xdr:rowOff>342900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0915650" y="1400175"/>
          <a:ext cx="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Pago de Comisiones y demás costos asociados durante el Periodo (j)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142875</xdr:rowOff>
    </xdr:from>
    <xdr:to>
      <xdr:col>9</xdr:col>
      <xdr:colOff>0</xdr:colOff>
      <xdr:row>11</xdr:row>
      <xdr:rowOff>0</xdr:rowOff>
    </xdr:to>
    <xdr:sp>
      <xdr:nvSpPr>
        <xdr:cNvPr id="1" name="Rectángulo redondeado 1"/>
        <xdr:cNvSpPr>
          <a:spLocks/>
        </xdr:cNvSpPr>
      </xdr:nvSpPr>
      <xdr:spPr>
        <a:xfrm>
          <a:off x="15440025" y="1362075"/>
          <a:ext cx="0" cy="52387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28575</xdr:rowOff>
    </xdr:from>
    <xdr:to>
      <xdr:col>9</xdr:col>
      <xdr:colOff>0</xdr:colOff>
      <xdr:row>10</xdr:row>
      <xdr:rowOff>361950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5440025" y="1400175"/>
          <a:ext cx="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Pago de Comisiones y demás costos asociados durante el Periodo (j)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95250</xdr:colOff>
      <xdr:row>0</xdr:row>
      <xdr:rowOff>142875</xdr:rowOff>
    </xdr:from>
    <xdr:to>
      <xdr:col>1</xdr:col>
      <xdr:colOff>695325</xdr:colOff>
      <xdr:row>4</xdr:row>
      <xdr:rowOff>114300</xdr:rowOff>
    </xdr:to>
    <xdr:pic>
      <xdr:nvPicPr>
        <xdr:cNvPr id="1" name="1 Imagen" descr="queretaro.jpg"/>
        <xdr:cNvPicPr preferRelativeResize="1">
          <a:picLocks noChangeAspect="1"/>
        </xdr:cNvPicPr>
      </xdr:nvPicPr>
      <xdr:blipFill>
        <a:blip r:embed="rId1"/>
        <a:srcRect b="29180"/>
        <a:stretch>
          <a:fillRect/>
        </a:stretch>
      </xdr:blipFill>
      <xdr:spPr>
        <a:xfrm>
          <a:off x="381000" y="142875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200025</xdr:colOff>
      <xdr:row>1</xdr:row>
      <xdr:rowOff>9525</xdr:rowOff>
    </xdr:from>
    <xdr:to>
      <xdr:col>1</xdr:col>
      <xdr:colOff>800100</xdr:colOff>
      <xdr:row>4</xdr:row>
      <xdr:rowOff>66675</xdr:rowOff>
    </xdr:to>
    <xdr:pic>
      <xdr:nvPicPr>
        <xdr:cNvPr id="1" name="1 Imagen" descr="queretaro.jpg"/>
        <xdr:cNvPicPr preferRelativeResize="1">
          <a:picLocks noChangeAspect="1"/>
        </xdr:cNvPicPr>
      </xdr:nvPicPr>
      <xdr:blipFill>
        <a:blip r:embed="rId1"/>
        <a:srcRect b="29180"/>
        <a:stretch>
          <a:fillRect/>
        </a:stretch>
      </xdr:blipFill>
      <xdr:spPr>
        <a:xfrm>
          <a:off x="523875" y="161925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48</xdr:row>
      <xdr:rowOff>0</xdr:rowOff>
    </xdr:from>
    <xdr:to>
      <xdr:col>2</xdr:col>
      <xdr:colOff>3162300</xdr:colOff>
      <xdr:row>48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781050" y="7029450"/>
          <a:ext cx="287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152400</xdr:rowOff>
    </xdr:to>
    <xdr:sp>
      <xdr:nvSpPr>
        <xdr:cNvPr id="1" name="Rectángulo redondeado 1"/>
        <xdr:cNvSpPr>
          <a:spLocks/>
        </xdr:cNvSpPr>
      </xdr:nvSpPr>
      <xdr:spPr>
        <a:xfrm>
          <a:off x="8715375" y="1219200"/>
          <a:ext cx="0" cy="1524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76200</xdr:rowOff>
    </xdr:from>
    <xdr:to>
      <xdr:col>6</xdr:col>
      <xdr:colOff>0</xdr:colOff>
      <xdr:row>59</xdr:row>
      <xdr:rowOff>304800</xdr:rowOff>
    </xdr:to>
    <xdr:sp>
      <xdr:nvSpPr>
        <xdr:cNvPr id="2" name="Rectángulo redondeado 2"/>
        <xdr:cNvSpPr>
          <a:spLocks/>
        </xdr:cNvSpPr>
      </xdr:nvSpPr>
      <xdr:spPr>
        <a:xfrm>
          <a:off x="8715375" y="9096375"/>
          <a:ext cx="0" cy="8382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1181100</xdr:colOff>
      <xdr:row>78</xdr:row>
      <xdr:rowOff>0</xdr:rowOff>
    </xdr:from>
    <xdr:to>
      <xdr:col>2</xdr:col>
      <xdr:colOff>1571625</xdr:colOff>
      <xdr:row>78</xdr:row>
      <xdr:rowOff>0</xdr:rowOff>
    </xdr:to>
    <xdr:sp>
      <xdr:nvSpPr>
        <xdr:cNvPr id="3" name="Conector recto 3"/>
        <xdr:cNvSpPr>
          <a:spLocks/>
        </xdr:cNvSpPr>
      </xdr:nvSpPr>
      <xdr:spPr>
        <a:xfrm>
          <a:off x="1362075" y="12858750"/>
          <a:ext cx="2781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876300</xdr:colOff>
      <xdr:row>77</xdr:row>
      <xdr:rowOff>152400</xdr:rowOff>
    </xdr:from>
    <xdr:to>
      <xdr:col>5</xdr:col>
      <xdr:colOff>704850</xdr:colOff>
      <xdr:row>77</xdr:row>
      <xdr:rowOff>152400</xdr:rowOff>
    </xdr:to>
    <xdr:sp>
      <xdr:nvSpPr>
        <xdr:cNvPr id="4" name="Conector recto 4"/>
        <xdr:cNvSpPr>
          <a:spLocks/>
        </xdr:cNvSpPr>
      </xdr:nvSpPr>
      <xdr:spPr>
        <a:xfrm>
          <a:off x="5019675" y="12858750"/>
          <a:ext cx="2886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parra\Downloads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EA"/>
      <sheetName val="ESF"/>
      <sheetName val="ESFD"/>
      <sheetName val="EVHP"/>
      <sheetName val="ECSF"/>
      <sheetName val="EFE"/>
      <sheetName val="IPC"/>
      <sheetName val="EAA"/>
      <sheetName val="EB"/>
      <sheetName val="CF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2" sqref="A2:A13"/>
    </sheetView>
  </sheetViews>
  <sheetFormatPr defaultColWidth="11.421875" defaultRowHeight="15"/>
  <cols>
    <col min="1" max="1" width="16.140625" style="0" bestFit="1" customWidth="1"/>
  </cols>
  <sheetData>
    <row r="1" ht="15">
      <c r="A1" t="s">
        <v>774</v>
      </c>
    </row>
    <row r="2" ht="15">
      <c r="A2" s="570">
        <v>42766</v>
      </c>
    </row>
    <row r="3" ht="15">
      <c r="A3" s="570">
        <v>42794</v>
      </c>
    </row>
    <row r="4" ht="15">
      <c r="A4" s="570">
        <v>42825</v>
      </c>
    </row>
    <row r="5" ht="15">
      <c r="A5" s="570">
        <v>42855</v>
      </c>
    </row>
    <row r="6" ht="15">
      <c r="A6" s="570">
        <v>42886</v>
      </c>
    </row>
    <row r="7" ht="15">
      <c r="A7" s="570">
        <v>42916</v>
      </c>
    </row>
    <row r="8" ht="15">
      <c r="A8" s="570">
        <v>42947</v>
      </c>
    </row>
    <row r="9" ht="15">
      <c r="A9" s="570">
        <v>42978</v>
      </c>
    </row>
    <row r="10" ht="15">
      <c r="A10" s="570">
        <v>43008</v>
      </c>
    </row>
    <row r="11" ht="15">
      <c r="A11" s="570">
        <v>43039</v>
      </c>
    </row>
    <row r="12" ht="15">
      <c r="A12" s="570">
        <v>43069</v>
      </c>
    </row>
    <row r="13" ht="15">
      <c r="A13" s="570">
        <v>43100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8"/>
  <sheetViews>
    <sheetView showGridLines="0" view="pageBreakPreview" zoomScale="98" zoomScaleSheetLayoutView="98" zoomScalePageLayoutView="0" workbookViewId="0" topLeftCell="A1">
      <selection activeCell="J15" sqref="J15"/>
    </sheetView>
  </sheetViews>
  <sheetFormatPr defaultColWidth="11.421875" defaultRowHeight="15"/>
  <cols>
    <col min="1" max="1" width="2.00390625" style="3" customWidth="1"/>
    <col min="2" max="2" width="4.8515625" style="3" bestFit="1" customWidth="1"/>
    <col min="3" max="3" width="51.57421875" style="3" customWidth="1"/>
    <col min="4" max="5" width="18.140625" style="3" bestFit="1" customWidth="1"/>
    <col min="6" max="6" width="23.28125" style="3" customWidth="1"/>
    <col min="7" max="7" width="18.140625" style="3" bestFit="1" customWidth="1"/>
    <col min="8" max="8" width="15.140625" style="3" bestFit="1" customWidth="1"/>
    <col min="9" max="9" width="13.28125" style="3" bestFit="1" customWidth="1"/>
    <col min="10" max="10" width="18.140625" style="3" bestFit="1" customWidth="1"/>
    <col min="11" max="11" width="1.8515625" style="3" customWidth="1"/>
    <col min="12" max="16384" width="11.421875" style="3" customWidth="1"/>
  </cols>
  <sheetData>
    <row r="2" spans="3:10" s="2" customFormat="1" ht="12">
      <c r="C2" s="677" t="s">
        <v>377</v>
      </c>
      <c r="D2" s="677"/>
      <c r="E2" s="677"/>
      <c r="F2" s="677"/>
      <c r="G2" s="677"/>
      <c r="H2" s="677"/>
      <c r="I2" s="677"/>
      <c r="J2" s="281"/>
    </row>
    <row r="3" spans="3:9" s="2" customFormat="1" ht="12">
      <c r="C3" s="678" t="s">
        <v>368</v>
      </c>
      <c r="D3" s="678"/>
      <c r="E3" s="678"/>
      <c r="F3" s="678"/>
      <c r="G3" s="678"/>
      <c r="H3" s="678"/>
      <c r="I3" s="678"/>
    </row>
    <row r="4" spans="3:9" s="2" customFormat="1" ht="12">
      <c r="C4" s="678" t="str">
        <f>"Del 1 de enero al "&amp;TEXT(INDEX(Periodos,ENTE!D18,1),"dd")&amp;" de "&amp;TEXT(INDEX(Periodos,ENTE!D18,1),"mmmm")&amp;" de "&amp;TEXT(INDEX(Periodos,ENTE!D18,1),"aaaa")&amp;""</f>
        <v>Del 1 de enero al 30 de septiembre de 2017</v>
      </c>
      <c r="D4" s="678"/>
      <c r="E4" s="678"/>
      <c r="F4" s="678"/>
      <c r="G4" s="678"/>
      <c r="H4" s="678"/>
      <c r="I4" s="678"/>
    </row>
    <row r="5" spans="3:9" s="2" customFormat="1" ht="12">
      <c r="C5" s="678" t="s">
        <v>92</v>
      </c>
      <c r="D5" s="678"/>
      <c r="E5" s="678"/>
      <c r="F5" s="678"/>
      <c r="G5" s="678"/>
      <c r="H5" s="678"/>
      <c r="I5" s="678"/>
    </row>
    <row r="6" spans="3:8" s="2" customFormat="1" ht="12">
      <c r="C6" s="5"/>
      <c r="E6" s="6"/>
      <c r="F6" s="6"/>
      <c r="G6" s="6"/>
      <c r="H6" s="7"/>
    </row>
    <row r="7" spans="2:10" s="2" customFormat="1" ht="12">
      <c r="B7" s="4" t="s">
        <v>4</v>
      </c>
      <c r="C7" s="679" t="str">
        <f>ENTE!D8</f>
        <v>UNIDAD DE SERVICIOS PARA LA EDUCACION BASICA EN EL ESTADO DE QUERETARO</v>
      </c>
      <c r="D7" s="679"/>
      <c r="E7" s="679"/>
      <c r="F7" s="679"/>
      <c r="G7" s="679"/>
      <c r="H7" s="679"/>
      <c r="I7" s="679"/>
      <c r="J7" s="679"/>
    </row>
    <row r="8" spans="3:8" s="2" customFormat="1" ht="12">
      <c r="C8" s="5"/>
      <c r="E8" s="6"/>
      <c r="F8" s="6"/>
      <c r="G8" s="6"/>
      <c r="H8" s="7"/>
    </row>
    <row r="9" spans="2:10" s="2" customFormat="1" ht="12">
      <c r="B9" s="676" t="s">
        <v>377</v>
      </c>
      <c r="C9" s="676"/>
      <c r="D9" s="676">
        <v>2017</v>
      </c>
      <c r="E9" s="676"/>
      <c r="F9" s="676"/>
      <c r="G9" s="676"/>
      <c r="H9" s="676"/>
      <c r="I9" s="676"/>
      <c r="J9" s="676"/>
    </row>
    <row r="10" spans="2:10" s="2" customFormat="1" ht="28.5" customHeight="1">
      <c r="B10" s="189" t="s">
        <v>360</v>
      </c>
      <c r="C10" s="189" t="s">
        <v>361</v>
      </c>
      <c r="D10" s="189" t="s">
        <v>370</v>
      </c>
      <c r="E10" s="189" t="s">
        <v>371</v>
      </c>
      <c r="F10" s="189" t="s">
        <v>372</v>
      </c>
      <c r="G10" s="189" t="s">
        <v>373</v>
      </c>
      <c r="H10" s="189" t="s">
        <v>374</v>
      </c>
      <c r="I10" s="189" t="s">
        <v>375</v>
      </c>
      <c r="J10" s="189" t="s">
        <v>376</v>
      </c>
    </row>
    <row r="11" spans="2:11" ht="12">
      <c r="B11" s="193">
        <v>1</v>
      </c>
      <c r="C11" s="194" t="s">
        <v>7</v>
      </c>
      <c r="D11" s="188">
        <v>-6934750692.43</v>
      </c>
      <c r="E11" s="188">
        <v>3310861305.3300004</v>
      </c>
      <c r="F11" s="188">
        <v>-172423305.91</v>
      </c>
      <c r="G11" s="188"/>
      <c r="H11" s="188">
        <v>5677735.47</v>
      </c>
      <c r="I11" s="188">
        <v>3121845204.89</v>
      </c>
      <c r="J11" s="190">
        <v>668789752.65</v>
      </c>
      <c r="K11" s="18"/>
    </row>
    <row r="12" spans="2:11" ht="12">
      <c r="B12" s="193">
        <v>2</v>
      </c>
      <c r="C12" s="194" t="s">
        <v>8</v>
      </c>
      <c r="D12" s="188">
        <v>-11379860</v>
      </c>
      <c r="E12" s="188">
        <v>5401585.010000003</v>
      </c>
      <c r="F12" s="188">
        <v>-3103153.68</v>
      </c>
      <c r="G12" s="188"/>
      <c r="H12" s="188">
        <v>4381245.859999999</v>
      </c>
      <c r="I12" s="188">
        <v>396273.87999999995</v>
      </c>
      <c r="J12" s="190">
        <v>4303908.93</v>
      </c>
      <c r="K12" s="18"/>
    </row>
    <row r="13" spans="2:11" ht="12">
      <c r="B13" s="193">
        <v>3</v>
      </c>
      <c r="C13" s="194" t="s">
        <v>9</v>
      </c>
      <c r="D13" s="188">
        <v>0</v>
      </c>
      <c r="E13" s="188"/>
      <c r="F13" s="188"/>
      <c r="G13" s="188"/>
      <c r="H13" s="188"/>
      <c r="I13" s="188"/>
      <c r="J13" s="190"/>
      <c r="K13" s="18"/>
    </row>
    <row r="14" spans="2:11" ht="12">
      <c r="B14" s="193">
        <v>4</v>
      </c>
      <c r="C14" s="194" t="s">
        <v>115</v>
      </c>
      <c r="D14" s="188">
        <v>-56327440.57</v>
      </c>
      <c r="E14" s="188"/>
      <c r="F14" s="188">
        <v>18558798.39</v>
      </c>
      <c r="G14" s="188"/>
      <c r="H14" s="188"/>
      <c r="I14" s="188"/>
      <c r="J14" s="190"/>
      <c r="K14" s="18"/>
    </row>
    <row r="15" spans="2:11" ht="12">
      <c r="B15" s="195">
        <v>5</v>
      </c>
      <c r="C15" s="17" t="s">
        <v>126</v>
      </c>
      <c r="D15" s="191">
        <v>0</v>
      </c>
      <c r="E15" s="191"/>
      <c r="F15" s="191"/>
      <c r="G15" s="191"/>
      <c r="H15" s="191"/>
      <c r="I15" s="191"/>
      <c r="J15" s="192">
        <v>37768642.18</v>
      </c>
      <c r="K15" s="18"/>
    </row>
    <row r="16" spans="4:10" ht="12">
      <c r="D16" s="10">
        <f aca="true" t="shared" si="0" ref="D16:J16">SUM(D11:D15)</f>
        <v>-7002457993</v>
      </c>
      <c r="E16" s="10">
        <f t="shared" si="0"/>
        <v>3316262890.3400006</v>
      </c>
      <c r="F16" s="10">
        <f t="shared" si="0"/>
        <v>-156967661.2</v>
      </c>
      <c r="G16" s="10">
        <f t="shared" si="0"/>
        <v>0</v>
      </c>
      <c r="H16" s="10">
        <f t="shared" si="0"/>
        <v>10058981.329999998</v>
      </c>
      <c r="I16" s="10">
        <f t="shared" si="0"/>
        <v>3122241478.77</v>
      </c>
      <c r="J16" s="10">
        <f t="shared" si="0"/>
        <v>710862303.7599999</v>
      </c>
    </row>
    <row r="18" ht="12">
      <c r="D18" s="11" t="str">
        <f>IF(SUM(D16:J16)=0," ","ERROR EN LA SUMATORIA DE LOS SALDOS, LA SUMA DE TODAS LAS COLUMNAS DEBE SER CERO, HAY UN DESCUADRE POR: "&amp;SUM(D16:J16))</f>
        <v> </v>
      </c>
    </row>
  </sheetData>
  <sheetProtection sheet="1" objects="1" scenarios="1" selectLockedCells="1"/>
  <mergeCells count="7">
    <mergeCell ref="C3:I3"/>
    <mergeCell ref="C2:I2"/>
    <mergeCell ref="B9:C9"/>
    <mergeCell ref="D9:J9"/>
    <mergeCell ref="C7:J7"/>
    <mergeCell ref="C5:I5"/>
    <mergeCell ref="C4:I4"/>
  </mergeCells>
  <printOptions/>
  <pageMargins left="0.708661417322835" right="0.708661417322835" top="0.748031496062992" bottom="0.748031496062992" header="0.31496062992126" footer="0.31496062992126"/>
  <pageSetup blackAndWhite="1" draft="1" fitToHeight="15" fitToWidth="1" horizontalDpi="600" verticalDpi="600" orientation="portrait" scale="48" r:id="rId1"/>
  <headerFooter>
    <oddFooter>&amp;LBorrador&amp;C&amp;A&amp;RPágina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showGridLines="0" view="pageBreakPreview" zoomScaleSheetLayoutView="100" zoomScalePageLayoutView="0" workbookViewId="0" topLeftCell="A1">
      <selection activeCell="B2" sqref="B2:I2"/>
    </sheetView>
  </sheetViews>
  <sheetFormatPr defaultColWidth="11.421875" defaultRowHeight="15"/>
  <cols>
    <col min="1" max="1" width="2.57421875" style="21" customWidth="1"/>
    <col min="2" max="2" width="4.7109375" style="3" customWidth="1"/>
    <col min="3" max="3" width="43.7109375" style="3" customWidth="1"/>
    <col min="4" max="4" width="17.00390625" style="3" bestFit="1" customWidth="1"/>
    <col min="5" max="5" width="16.7109375" style="3" customWidth="1"/>
    <col min="6" max="6" width="16.57421875" style="3" customWidth="1"/>
    <col min="7" max="7" width="15.421875" style="3" customWidth="1"/>
    <col min="8" max="8" width="15.7109375" style="3" customWidth="1"/>
    <col min="9" max="9" width="16.00390625" style="3" customWidth="1"/>
    <col min="10" max="10" width="4.00390625" style="21" customWidth="1"/>
    <col min="11" max="16384" width="11.421875" style="3" customWidth="1"/>
  </cols>
  <sheetData>
    <row r="1" s="21" customFormat="1" ht="12"/>
    <row r="2" spans="2:9" ht="12">
      <c r="B2" s="677"/>
      <c r="C2" s="677"/>
      <c r="D2" s="677"/>
      <c r="E2" s="677"/>
      <c r="F2" s="677"/>
      <c r="G2" s="677"/>
      <c r="H2" s="677"/>
      <c r="I2" s="677"/>
    </row>
    <row r="3" spans="2:9" ht="12">
      <c r="B3" s="680" t="s">
        <v>250</v>
      </c>
      <c r="C3" s="680"/>
      <c r="D3" s="680"/>
      <c r="E3" s="680"/>
      <c r="F3" s="680"/>
      <c r="G3" s="680"/>
      <c r="H3" s="680"/>
      <c r="I3" s="680"/>
    </row>
    <row r="4" spans="2:9" ht="12">
      <c r="B4" s="680" t="str">
        <f>"Del 1 de enero al "&amp;TEXT(INDEX(Periodos,ENTE!D18,1),"dd")&amp;" de "&amp;TEXT(INDEX(Periodos,ENTE!D18,1),"mmmm")&amp;" de "&amp;TEXT(INDEX(Periodos,ENTE!D18,1),"aaaa")&amp;""</f>
        <v>Del 1 de enero al 30 de septiembre de 2017</v>
      </c>
      <c r="C4" s="680"/>
      <c r="D4" s="680"/>
      <c r="E4" s="680"/>
      <c r="F4" s="680"/>
      <c r="G4" s="680"/>
      <c r="H4" s="680"/>
      <c r="I4" s="680"/>
    </row>
    <row r="5" spans="2:9" ht="12">
      <c r="B5" s="352"/>
      <c r="C5" s="680" t="s">
        <v>92</v>
      </c>
      <c r="D5" s="680"/>
      <c r="E5" s="680"/>
      <c r="F5" s="680"/>
      <c r="G5" s="680"/>
      <c r="H5" s="680"/>
      <c r="I5" s="680"/>
    </row>
    <row r="6" spans="2:9" ht="12">
      <c r="B6" s="680"/>
      <c r="C6" s="680"/>
      <c r="D6" s="680"/>
      <c r="E6" s="680"/>
      <c r="F6" s="680"/>
      <c r="G6" s="680"/>
      <c r="H6" s="680"/>
      <c r="I6" s="680"/>
    </row>
    <row r="7" spans="2:9" ht="12">
      <c r="B7" s="178" t="s">
        <v>4</v>
      </c>
      <c r="C7" s="679" t="str">
        <f>ENTE!D8</f>
        <v>UNIDAD DE SERVICIOS PARA LA EDUCACION BASICA EN EL ESTADO DE QUERETARO</v>
      </c>
      <c r="D7" s="679"/>
      <c r="E7" s="679"/>
      <c r="F7" s="679"/>
      <c r="G7" s="679"/>
      <c r="H7" s="679"/>
      <c r="I7" s="679"/>
    </row>
    <row r="8" s="21" customFormat="1" ht="12"/>
    <row r="9" spans="2:9" ht="12">
      <c r="B9" s="723" t="s">
        <v>93</v>
      </c>
      <c r="C9" s="724"/>
      <c r="D9" s="729" t="s">
        <v>493</v>
      </c>
      <c r="E9" s="729"/>
      <c r="F9" s="729"/>
      <c r="G9" s="729"/>
      <c r="H9" s="729"/>
      <c r="I9" s="729" t="s">
        <v>636</v>
      </c>
    </row>
    <row r="10" spans="2:9" ht="24">
      <c r="B10" s="725"/>
      <c r="C10" s="726"/>
      <c r="D10" s="357" t="s">
        <v>243</v>
      </c>
      <c r="E10" s="357" t="s">
        <v>244</v>
      </c>
      <c r="F10" s="357" t="s">
        <v>220</v>
      </c>
      <c r="G10" s="357" t="s">
        <v>221</v>
      </c>
      <c r="H10" s="357" t="s">
        <v>245</v>
      </c>
      <c r="I10" s="729"/>
    </row>
    <row r="11" spans="2:9" ht="12">
      <c r="B11" s="727"/>
      <c r="C11" s="728"/>
      <c r="D11" s="357">
        <v>1</v>
      </c>
      <c r="E11" s="357">
        <v>2</v>
      </c>
      <c r="F11" s="357" t="s">
        <v>246</v>
      </c>
      <c r="G11" s="357">
        <v>4</v>
      </c>
      <c r="H11" s="357">
        <v>5</v>
      </c>
      <c r="I11" s="357" t="s">
        <v>247</v>
      </c>
    </row>
    <row r="12" spans="2:9" ht="12">
      <c r="B12" s="137"/>
      <c r="C12" s="138"/>
      <c r="D12" s="139"/>
      <c r="E12" s="139"/>
      <c r="F12" s="139"/>
      <c r="G12" s="139"/>
      <c r="H12" s="139"/>
      <c r="I12" s="139"/>
    </row>
    <row r="13" spans="2:9" ht="12">
      <c r="B13" s="128"/>
      <c r="C13" s="362" t="s">
        <v>7</v>
      </c>
      <c r="D13" s="105">
        <f>-SCTG!D11</f>
        <v>6934750692.43</v>
      </c>
      <c r="E13" s="105">
        <f>-SCTG!F11</f>
        <v>172423305.91</v>
      </c>
      <c r="F13" s="105">
        <f>+D13+E13</f>
        <v>7107173998.34</v>
      </c>
      <c r="G13" s="105">
        <f>SCTG!H11+SCTG!I11+SCTG!J11</f>
        <v>3796312693.0099998</v>
      </c>
      <c r="H13" s="105">
        <f>SCTG!J11</f>
        <v>668789752.65</v>
      </c>
      <c r="I13" s="105">
        <f>+F13-G13</f>
        <v>3310861305.3300004</v>
      </c>
    </row>
    <row r="14" spans="2:9" ht="12">
      <c r="B14" s="128"/>
      <c r="C14" s="345"/>
      <c r="D14" s="396"/>
      <c r="E14" s="396"/>
      <c r="F14" s="396"/>
      <c r="G14" s="396"/>
      <c r="H14" s="396"/>
      <c r="I14" s="396"/>
    </row>
    <row r="15" spans="2:9" ht="12">
      <c r="B15" s="140"/>
      <c r="C15" s="362" t="s">
        <v>8</v>
      </c>
      <c r="D15" s="105">
        <f>-SCTG!D12</f>
        <v>11379860</v>
      </c>
      <c r="E15" s="105">
        <f>-SCTG!F12</f>
        <v>3103153.68</v>
      </c>
      <c r="F15" s="105">
        <f>+D15+E15</f>
        <v>14483013.68</v>
      </c>
      <c r="G15" s="105">
        <f>SCTG!H12+SCTG!I12+SCTG!J12</f>
        <v>9081428.669999998</v>
      </c>
      <c r="H15" s="105">
        <f>SCTG!J12</f>
        <v>4303908.93</v>
      </c>
      <c r="I15" s="105">
        <f>+F15-G15</f>
        <v>5401585.010000002</v>
      </c>
    </row>
    <row r="16" spans="2:9" ht="12">
      <c r="B16" s="128"/>
      <c r="C16" s="345"/>
      <c r="D16" s="396"/>
      <c r="E16" s="396"/>
      <c r="F16" s="396"/>
      <c r="G16" s="396"/>
      <c r="H16" s="396"/>
      <c r="I16" s="396"/>
    </row>
    <row r="17" spans="2:9" ht="12">
      <c r="B17" s="140"/>
      <c r="C17" s="362" t="s">
        <v>251</v>
      </c>
      <c r="D17" s="105">
        <f>-SCTG!D13</f>
        <v>0</v>
      </c>
      <c r="E17" s="105">
        <f>-SCTG!F13</f>
        <v>0</v>
      </c>
      <c r="F17" s="105">
        <f>+D17+E17</f>
        <v>0</v>
      </c>
      <c r="G17" s="105">
        <f>SCTG!H13+SCTG!I13+SCTG!J13</f>
        <v>0</v>
      </c>
      <c r="H17" s="105">
        <f>SCTG!J13</f>
        <v>0</v>
      </c>
      <c r="I17" s="105">
        <f>+F17-G17</f>
        <v>0</v>
      </c>
    </row>
    <row r="18" spans="2:9" ht="12">
      <c r="B18" s="140"/>
      <c r="C18" s="362"/>
      <c r="D18" s="105"/>
      <c r="E18" s="105"/>
      <c r="F18" s="105"/>
      <c r="G18" s="105"/>
      <c r="H18" s="105"/>
      <c r="I18" s="105"/>
    </row>
    <row r="19" spans="2:9" ht="12">
      <c r="B19" s="140"/>
      <c r="C19" s="362" t="s">
        <v>115</v>
      </c>
      <c r="D19" s="105">
        <f>-SCTG!D14</f>
        <v>56327440.57</v>
      </c>
      <c r="E19" s="105">
        <f>-SCTG!F14</f>
        <v>-18558798.39</v>
      </c>
      <c r="F19" s="105">
        <f>+D19+E19</f>
        <v>37768642.18</v>
      </c>
      <c r="G19" s="105">
        <f>SCTG!H14+SCTG!I14+SCTG!J14</f>
        <v>0</v>
      </c>
      <c r="H19" s="105">
        <f>SCTG!J14</f>
        <v>0</v>
      </c>
      <c r="I19" s="105">
        <f>+F19-G19</f>
        <v>37768642.18</v>
      </c>
    </row>
    <row r="20" spans="2:9" ht="12">
      <c r="B20" s="140"/>
      <c r="C20" s="362"/>
      <c r="D20" s="105"/>
      <c r="E20" s="105"/>
      <c r="F20" s="105"/>
      <c r="G20" s="105"/>
      <c r="H20" s="105"/>
      <c r="I20" s="105"/>
    </row>
    <row r="21" spans="2:9" ht="12">
      <c r="B21" s="140"/>
      <c r="C21" s="362" t="s">
        <v>126</v>
      </c>
      <c r="D21" s="105">
        <f>-SCTG!D15</f>
        <v>0</v>
      </c>
      <c r="E21" s="105">
        <f>-SCTG!F15</f>
        <v>0</v>
      </c>
      <c r="F21" s="105">
        <f>+D21+E21</f>
        <v>0</v>
      </c>
      <c r="G21" s="105">
        <f>SCTG!H15+SCTG!I15+SCTG!J15</f>
        <v>37768642.18</v>
      </c>
      <c r="H21" s="105">
        <f>SCTG!J15</f>
        <v>37768642.18</v>
      </c>
      <c r="I21" s="105">
        <f>+F21-G21</f>
        <v>-37768642.18</v>
      </c>
    </row>
    <row r="22" spans="2:9" ht="12">
      <c r="B22" s="141"/>
      <c r="C22" s="142"/>
      <c r="D22" s="397"/>
      <c r="E22" s="397"/>
      <c r="F22" s="397"/>
      <c r="G22" s="397"/>
      <c r="H22" s="397"/>
      <c r="I22" s="397"/>
    </row>
    <row r="23" spans="1:10" s="1" customFormat="1" ht="12">
      <c r="A23" s="124"/>
      <c r="B23" s="141"/>
      <c r="C23" s="142" t="s">
        <v>248</v>
      </c>
      <c r="D23" s="136">
        <f aca="true" t="shared" si="0" ref="D23:I23">+D13+D15+D17+D19+D21</f>
        <v>7002457993</v>
      </c>
      <c r="E23" s="136">
        <f t="shared" si="0"/>
        <v>156967661.2</v>
      </c>
      <c r="F23" s="136">
        <f t="shared" si="0"/>
        <v>7159425654.200001</v>
      </c>
      <c r="G23" s="136">
        <f t="shared" si="0"/>
        <v>3843162763.8599997</v>
      </c>
      <c r="H23" s="136">
        <f t="shared" si="0"/>
        <v>710862303.7599999</v>
      </c>
      <c r="I23" s="136">
        <f t="shared" si="0"/>
        <v>3316262890.3400006</v>
      </c>
      <c r="J23" s="124"/>
    </row>
    <row r="24" spans="2:9" ht="52.5" customHeight="1" hidden="1">
      <c r="B24" s="715" t="s">
        <v>249</v>
      </c>
      <c r="C24" s="716"/>
      <c r="D24" s="716"/>
      <c r="E24" s="716"/>
      <c r="F24" s="716"/>
      <c r="G24" s="716"/>
      <c r="H24" s="716"/>
      <c r="I24" s="716"/>
    </row>
    <row r="25" spans="2:9" ht="12">
      <c r="B25" s="693" t="s">
        <v>149</v>
      </c>
      <c r="C25" s="693"/>
      <c r="D25" s="693"/>
      <c r="E25" s="693"/>
      <c r="F25" s="693"/>
      <c r="G25" s="693"/>
      <c r="H25" s="693"/>
      <c r="I25" s="143"/>
    </row>
    <row r="26" spans="4:9" ht="12">
      <c r="D26" s="143"/>
      <c r="E26" s="143"/>
      <c r="F26" s="144"/>
      <c r="G26" s="143"/>
      <c r="H26" s="143"/>
      <c r="I26" s="143"/>
    </row>
    <row r="27" spans="4:9" ht="12">
      <c r="D27" s="143"/>
      <c r="E27" s="143"/>
      <c r="F27" s="144"/>
      <c r="G27" s="143"/>
      <c r="H27" s="143"/>
      <c r="I27" s="143"/>
    </row>
    <row r="28" spans="4:9" ht="12">
      <c r="D28" s="143"/>
      <c r="E28" s="143"/>
      <c r="F28" s="144"/>
      <c r="G28" s="143"/>
      <c r="H28" s="143"/>
      <c r="I28" s="143"/>
    </row>
    <row r="29" spans="4:9" ht="12">
      <c r="D29" s="143"/>
      <c r="E29" s="143"/>
      <c r="F29" s="144"/>
      <c r="G29" s="143"/>
      <c r="H29" s="143"/>
      <c r="I29" s="143"/>
    </row>
    <row r="30" spans="4:9" ht="12">
      <c r="D30" s="143"/>
      <c r="E30" s="143"/>
      <c r="F30" s="144"/>
      <c r="G30" s="143"/>
      <c r="H30" s="143"/>
      <c r="I30" s="143"/>
    </row>
    <row r="31" spans="3:9" ht="12">
      <c r="C31" s="1"/>
      <c r="D31" s="310"/>
      <c r="E31" s="310"/>
      <c r="F31" s="311"/>
      <c r="G31" s="310"/>
      <c r="H31" s="310"/>
      <c r="I31" s="310"/>
    </row>
    <row r="32" spans="3:9" ht="12">
      <c r="C32" s="307"/>
      <c r="D32" s="312"/>
      <c r="E32" s="310"/>
      <c r="F32" s="313"/>
      <c r="G32" s="312"/>
      <c r="H32" s="312"/>
      <c r="I32" s="312"/>
    </row>
    <row r="33" spans="3:9" ht="15" customHeight="1">
      <c r="C33" s="691" t="str">
        <f>+ENTE!D10</f>
        <v>ING. ENRIQUE DE ECHAVARRI LARY</v>
      </c>
      <c r="D33" s="691"/>
      <c r="E33" s="310"/>
      <c r="F33" s="731" t="str">
        <f>+ENTE!D14</f>
        <v>LIC. RICARDO SALVADOR BACA MUÑOZ</v>
      </c>
      <c r="G33" s="731"/>
      <c r="H33" s="731"/>
      <c r="I33" s="731"/>
    </row>
    <row r="34" spans="3:9" ht="15" customHeight="1">
      <c r="C34" s="692" t="str">
        <f>+ENTE!D12</f>
        <v>COORDINADOR GENERAL </v>
      </c>
      <c r="D34" s="692"/>
      <c r="E34" s="310"/>
      <c r="F34" s="730" t="str">
        <f>+ENTE!D16</f>
        <v>DIRECTOR DE ADMINISTRACION</v>
      </c>
      <c r="G34" s="730"/>
      <c r="H34" s="730"/>
      <c r="I34" s="730"/>
    </row>
    <row r="35" spans="3:9" ht="12">
      <c r="C35" s="1"/>
      <c r="D35" s="310"/>
      <c r="E35" s="310"/>
      <c r="F35" s="310"/>
      <c r="G35" s="310"/>
      <c r="H35" s="310"/>
      <c r="I35" s="311"/>
    </row>
  </sheetData>
  <sheetProtection sheet="1" objects="1" scenarios="1" selectLockedCells="1"/>
  <mergeCells count="15">
    <mergeCell ref="B25:H25"/>
    <mergeCell ref="C33:D33"/>
    <mergeCell ref="C34:D34"/>
    <mergeCell ref="F34:I34"/>
    <mergeCell ref="F33:I33"/>
    <mergeCell ref="B24:I24"/>
    <mergeCell ref="B2:I2"/>
    <mergeCell ref="B3:I3"/>
    <mergeCell ref="B4:I4"/>
    <mergeCell ref="B6:I6"/>
    <mergeCell ref="C7:I7"/>
    <mergeCell ref="B9:C11"/>
    <mergeCell ref="D9:H9"/>
    <mergeCell ref="I9:I10"/>
    <mergeCell ref="C5:I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0" r:id="rId1"/>
  <headerFooter>
    <oddFooter>&amp;C&amp;A&amp;RPágina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O141"/>
  <sheetViews>
    <sheetView showGridLines="0" view="pageBreakPreview" zoomScale="98" zoomScaleSheetLayoutView="98" zoomScalePageLayoutView="0" workbookViewId="0" topLeftCell="C1">
      <selection activeCell="I83" sqref="I83"/>
    </sheetView>
  </sheetViews>
  <sheetFormatPr defaultColWidth="11.421875" defaultRowHeight="15"/>
  <cols>
    <col min="1" max="1" width="3.8515625" style="3" customWidth="1"/>
    <col min="2" max="2" width="4.7109375" style="3" bestFit="1" customWidth="1"/>
    <col min="3" max="3" width="66.28125" style="3" bestFit="1" customWidth="1"/>
    <col min="4" max="5" width="17.7109375" style="3" bestFit="1" customWidth="1"/>
    <col min="6" max="6" width="24.7109375" style="3" bestFit="1" customWidth="1"/>
    <col min="7" max="8" width="17.7109375" style="3" bestFit="1" customWidth="1"/>
    <col min="9" max="9" width="15.00390625" style="3" bestFit="1" customWidth="1"/>
    <col min="10" max="10" width="14.421875" style="3" bestFit="1" customWidth="1"/>
    <col min="11" max="11" width="3.140625" style="3" customWidth="1"/>
    <col min="12" max="12" width="14.8515625" style="3" customWidth="1"/>
    <col min="13" max="13" width="14.140625" style="3" customWidth="1"/>
    <col min="14" max="16384" width="11.421875" style="3" customWidth="1"/>
  </cols>
  <sheetData>
    <row r="2" spans="3:10" s="2" customFormat="1" ht="12">
      <c r="C2" s="712" t="s">
        <v>380</v>
      </c>
      <c r="D2" s="712"/>
      <c r="E2" s="712"/>
      <c r="F2" s="712"/>
      <c r="G2" s="712"/>
      <c r="H2" s="712"/>
      <c r="I2" s="712"/>
      <c r="J2" s="281"/>
    </row>
    <row r="3" spans="3:9" s="2" customFormat="1" ht="12">
      <c r="C3" s="678" t="s">
        <v>368</v>
      </c>
      <c r="D3" s="678"/>
      <c r="E3" s="678"/>
      <c r="F3" s="678"/>
      <c r="G3" s="678"/>
      <c r="H3" s="678"/>
      <c r="I3" s="678"/>
    </row>
    <row r="4" spans="3:9" s="2" customFormat="1" ht="12">
      <c r="C4" s="678" t="str">
        <f>"Del 1 de enero al "&amp;TEXT(INDEX(Periodos,ENTE!D18,1),"dd")&amp;" de "&amp;TEXT(INDEX(Periodos,ENTE!D18,1),"mmmm")&amp;" de "&amp;TEXT(INDEX(Periodos,ENTE!D18,1),"aaaa")&amp;""</f>
        <v>Del 1 de enero al 30 de septiembre de 2017</v>
      </c>
      <c r="D4" s="678"/>
      <c r="E4" s="678"/>
      <c r="F4" s="678"/>
      <c r="G4" s="678"/>
      <c r="H4" s="678"/>
      <c r="I4" s="678"/>
    </row>
    <row r="5" spans="3:9" s="2" customFormat="1" ht="12">
      <c r="C5" s="678" t="s">
        <v>92</v>
      </c>
      <c r="D5" s="678"/>
      <c r="E5" s="678"/>
      <c r="F5" s="678"/>
      <c r="G5" s="678"/>
      <c r="H5" s="678"/>
      <c r="I5" s="678"/>
    </row>
    <row r="6" spans="3:8" s="2" customFormat="1" ht="12">
      <c r="C6" s="5"/>
      <c r="E6" s="6"/>
      <c r="F6" s="6"/>
      <c r="G6" s="6"/>
      <c r="H6" s="7"/>
    </row>
    <row r="7" spans="2:10" s="2" customFormat="1" ht="12">
      <c r="B7" s="4" t="s">
        <v>4</v>
      </c>
      <c r="C7" s="732" t="str">
        <f>ENTE!D8</f>
        <v>UNIDAD DE SERVICIOS PARA LA EDUCACION BASICA EN EL ESTADO DE QUERETARO</v>
      </c>
      <c r="D7" s="732"/>
      <c r="E7" s="732"/>
      <c r="F7" s="732"/>
      <c r="G7" s="732"/>
      <c r="H7" s="732"/>
      <c r="I7" s="732"/>
      <c r="J7" s="732"/>
    </row>
    <row r="8" spans="3:8" s="2" customFormat="1" ht="12">
      <c r="C8" s="5"/>
      <c r="E8" s="6"/>
      <c r="F8" s="6"/>
      <c r="G8" s="6"/>
      <c r="H8" s="7"/>
    </row>
    <row r="9" spans="2:10" s="2" customFormat="1" ht="12">
      <c r="B9" s="676" t="s">
        <v>380</v>
      </c>
      <c r="C9" s="676"/>
      <c r="D9" s="676">
        <v>2017</v>
      </c>
      <c r="E9" s="676"/>
      <c r="F9" s="676"/>
      <c r="G9" s="676"/>
      <c r="H9" s="676"/>
      <c r="I9" s="676"/>
      <c r="J9" s="676"/>
    </row>
    <row r="10" spans="2:10" s="2" customFormat="1" ht="28.5" customHeight="1">
      <c r="B10" s="189" t="s">
        <v>360</v>
      </c>
      <c r="C10" s="189" t="s">
        <v>361</v>
      </c>
      <c r="D10" s="189" t="s">
        <v>370</v>
      </c>
      <c r="E10" s="189" t="s">
        <v>371</v>
      </c>
      <c r="F10" s="189" t="s">
        <v>372</v>
      </c>
      <c r="G10" s="189" t="s">
        <v>373</v>
      </c>
      <c r="H10" s="189" t="s">
        <v>374</v>
      </c>
      <c r="I10" s="189" t="s">
        <v>375</v>
      </c>
      <c r="J10" s="189" t="s">
        <v>376</v>
      </c>
    </row>
    <row r="11" spans="2:11" s="21" customFormat="1" ht="12">
      <c r="B11" s="366"/>
      <c r="C11" s="122" t="s">
        <v>755</v>
      </c>
      <c r="D11" s="300"/>
      <c r="E11" s="300"/>
      <c r="F11" s="300"/>
      <c r="G11" s="300"/>
      <c r="H11" s="300"/>
      <c r="I11" s="300"/>
      <c r="J11" s="301"/>
      <c r="K11" s="367"/>
    </row>
    <row r="12" spans="2:11" ht="12">
      <c r="B12" s="193">
        <v>11</v>
      </c>
      <c r="C12" s="194" t="s">
        <v>253</v>
      </c>
      <c r="D12" s="188"/>
      <c r="E12" s="188"/>
      <c r="F12" s="188"/>
      <c r="G12" s="188"/>
      <c r="H12" s="188"/>
      <c r="I12" s="188"/>
      <c r="J12" s="190"/>
      <c r="K12" s="19"/>
    </row>
    <row r="13" spans="2:11" ht="12">
      <c r="B13" s="193">
        <v>12</v>
      </c>
      <c r="C13" s="194" t="s">
        <v>254</v>
      </c>
      <c r="D13" s="188">
        <v>-1000000</v>
      </c>
      <c r="E13" s="188">
        <v>268108.16</v>
      </c>
      <c r="F13" s="188">
        <v>-78167.83</v>
      </c>
      <c r="G13" s="188"/>
      <c r="H13" s="188"/>
      <c r="I13" s="188"/>
      <c r="J13" s="190">
        <v>810059.6700000002</v>
      </c>
      <c r="K13" s="19"/>
    </row>
    <row r="14" spans="2:11" ht="12">
      <c r="B14" s="193">
        <v>13</v>
      </c>
      <c r="C14" s="194" t="s">
        <v>255</v>
      </c>
      <c r="D14" s="188"/>
      <c r="E14" s="188"/>
      <c r="F14" s="188"/>
      <c r="G14" s="188"/>
      <c r="H14" s="188"/>
      <c r="I14" s="188"/>
      <c r="J14" s="190"/>
      <c r="K14" s="19"/>
    </row>
    <row r="15" spans="2:11" ht="12">
      <c r="B15" s="193">
        <v>14</v>
      </c>
      <c r="C15" s="194" t="s">
        <v>256</v>
      </c>
      <c r="D15" s="188"/>
      <c r="E15" s="188"/>
      <c r="F15" s="188"/>
      <c r="G15" s="188"/>
      <c r="H15" s="188"/>
      <c r="I15" s="188"/>
      <c r="J15" s="190"/>
      <c r="K15" s="19"/>
    </row>
    <row r="16" spans="2:11" ht="12">
      <c r="B16" s="193">
        <v>15</v>
      </c>
      <c r="C16" s="194" t="s">
        <v>257</v>
      </c>
      <c r="D16" s="188"/>
      <c r="E16" s="188"/>
      <c r="F16" s="188"/>
      <c r="G16" s="188"/>
      <c r="H16" s="188"/>
      <c r="I16" s="188"/>
      <c r="J16" s="190"/>
      <c r="K16" s="19"/>
    </row>
    <row r="17" spans="2:11" ht="12">
      <c r="B17" s="193">
        <v>16</v>
      </c>
      <c r="C17" s="194" t="s">
        <v>258</v>
      </c>
      <c r="D17" s="188"/>
      <c r="E17" s="188"/>
      <c r="F17" s="188"/>
      <c r="G17" s="188"/>
      <c r="H17" s="188"/>
      <c r="I17" s="188"/>
      <c r="J17" s="190"/>
      <c r="K17" s="19"/>
    </row>
    <row r="18" spans="2:13" ht="12">
      <c r="B18" s="193">
        <v>17</v>
      </c>
      <c r="C18" s="194" t="s">
        <v>259</v>
      </c>
      <c r="D18" s="188"/>
      <c r="E18" s="188"/>
      <c r="F18" s="188"/>
      <c r="G18" s="188"/>
      <c r="H18" s="188"/>
      <c r="I18" s="188"/>
      <c r="J18" s="190"/>
      <c r="K18" s="19"/>
      <c r="L18" s="19"/>
      <c r="M18" s="19"/>
    </row>
    <row r="19" spans="2:11" ht="12">
      <c r="B19" s="193">
        <v>21</v>
      </c>
      <c r="C19" s="194" t="s">
        <v>260</v>
      </c>
      <c r="D19" s="188"/>
      <c r="E19" s="188"/>
      <c r="F19" s="188"/>
      <c r="G19" s="188"/>
      <c r="H19" s="188"/>
      <c r="I19" s="188"/>
      <c r="J19" s="190"/>
      <c r="K19" s="19"/>
    </row>
    <row r="20" spans="2:11" ht="12">
      <c r="B20" s="193">
        <v>22</v>
      </c>
      <c r="C20" s="194" t="s">
        <v>261</v>
      </c>
      <c r="D20" s="188"/>
      <c r="E20" s="188"/>
      <c r="F20" s="188"/>
      <c r="G20" s="188"/>
      <c r="H20" s="188"/>
      <c r="I20" s="188"/>
      <c r="J20" s="190"/>
      <c r="K20" s="19"/>
    </row>
    <row r="21" spans="2:11" ht="12">
      <c r="B21" s="193">
        <v>23</v>
      </c>
      <c r="C21" s="194" t="s">
        <v>262</v>
      </c>
      <c r="D21" s="188"/>
      <c r="E21" s="188"/>
      <c r="F21" s="188"/>
      <c r="G21" s="188"/>
      <c r="H21" s="188"/>
      <c r="I21" s="188"/>
      <c r="J21" s="190"/>
      <c r="K21" s="19"/>
    </row>
    <row r="22" spans="2:11" ht="12">
      <c r="B22" s="193">
        <v>24</v>
      </c>
      <c r="C22" s="194" t="s">
        <v>263</v>
      </c>
      <c r="D22" s="188"/>
      <c r="E22" s="188"/>
      <c r="F22" s="188"/>
      <c r="G22" s="188"/>
      <c r="H22" s="188"/>
      <c r="I22" s="188"/>
      <c r="J22" s="190"/>
      <c r="K22" s="19"/>
    </row>
    <row r="23" spans="2:11" ht="12">
      <c r="B23" s="193">
        <v>25</v>
      </c>
      <c r="C23" s="194" t="s">
        <v>382</v>
      </c>
      <c r="D23" s="188"/>
      <c r="E23" s="188"/>
      <c r="F23" s="188"/>
      <c r="G23" s="188"/>
      <c r="H23" s="188"/>
      <c r="I23" s="188"/>
      <c r="J23" s="190"/>
      <c r="K23" s="19"/>
    </row>
    <row r="24" spans="2:11" ht="12">
      <c r="B24" s="193">
        <v>26</v>
      </c>
      <c r="C24" s="194" t="s">
        <v>265</v>
      </c>
      <c r="D24" s="188"/>
      <c r="E24" s="188"/>
      <c r="F24" s="188"/>
      <c r="G24" s="188"/>
      <c r="H24" s="188"/>
      <c r="I24" s="188"/>
      <c r="J24" s="190"/>
      <c r="K24" s="19"/>
    </row>
    <row r="25" spans="2:11" ht="12">
      <c r="B25" s="193">
        <v>27</v>
      </c>
      <c r="C25" s="194" t="s">
        <v>266</v>
      </c>
      <c r="D25" s="188"/>
      <c r="E25" s="188"/>
      <c r="F25" s="188"/>
      <c r="G25" s="188"/>
      <c r="H25" s="188"/>
      <c r="I25" s="188"/>
      <c r="J25" s="190"/>
      <c r="K25" s="19"/>
    </row>
    <row r="26" spans="2:11" ht="12">
      <c r="B26" s="193">
        <v>28</v>
      </c>
      <c r="C26" s="194" t="s">
        <v>383</v>
      </c>
      <c r="D26" s="188"/>
      <c r="E26" s="188"/>
      <c r="F26" s="188"/>
      <c r="G26" s="188"/>
      <c r="H26" s="188"/>
      <c r="I26" s="188"/>
      <c r="J26" s="190"/>
      <c r="K26" s="19"/>
    </row>
    <row r="27" spans="2:13" ht="12">
      <c r="B27" s="193">
        <v>29</v>
      </c>
      <c r="C27" s="194" t="s">
        <v>268</v>
      </c>
      <c r="D27" s="188"/>
      <c r="E27" s="188"/>
      <c r="F27" s="188"/>
      <c r="G27" s="188"/>
      <c r="H27" s="188"/>
      <c r="I27" s="188"/>
      <c r="J27" s="190"/>
      <c r="K27" s="19"/>
      <c r="L27" s="19"/>
      <c r="M27" s="19"/>
    </row>
    <row r="28" spans="2:11" ht="12">
      <c r="B28" s="193">
        <v>31</v>
      </c>
      <c r="C28" s="194" t="s">
        <v>269</v>
      </c>
      <c r="D28" s="188"/>
      <c r="E28" s="188"/>
      <c r="F28" s="188"/>
      <c r="G28" s="188"/>
      <c r="H28" s="188"/>
      <c r="I28" s="188"/>
      <c r="J28" s="190"/>
      <c r="K28" s="19"/>
    </row>
    <row r="29" spans="2:11" ht="12">
      <c r="B29" s="193">
        <v>32</v>
      </c>
      <c r="C29" s="194" t="s">
        <v>270</v>
      </c>
      <c r="D29" s="188"/>
      <c r="E29" s="188"/>
      <c r="F29" s="188"/>
      <c r="G29" s="188"/>
      <c r="H29" s="188"/>
      <c r="I29" s="188"/>
      <c r="J29" s="190"/>
      <c r="K29" s="19"/>
    </row>
    <row r="30" spans="2:11" ht="12">
      <c r="B30" s="193">
        <v>33</v>
      </c>
      <c r="C30" s="194" t="s">
        <v>384</v>
      </c>
      <c r="D30" s="188">
        <v>-500000</v>
      </c>
      <c r="E30" s="188">
        <v>0</v>
      </c>
      <c r="F30" s="188">
        <v>500000</v>
      </c>
      <c r="G30" s="188"/>
      <c r="H30" s="188"/>
      <c r="I30" s="188"/>
      <c r="J30" s="190"/>
      <c r="K30" s="19"/>
    </row>
    <row r="31" spans="2:11" ht="12">
      <c r="B31" s="193">
        <v>34</v>
      </c>
      <c r="C31" s="194" t="s">
        <v>272</v>
      </c>
      <c r="D31" s="188"/>
      <c r="E31" s="188"/>
      <c r="F31" s="188"/>
      <c r="G31" s="188"/>
      <c r="H31" s="188"/>
      <c r="I31" s="188"/>
      <c r="J31" s="190"/>
      <c r="K31" s="19"/>
    </row>
    <row r="32" spans="2:11" ht="12">
      <c r="B32" s="193">
        <v>35</v>
      </c>
      <c r="C32" s="194" t="s">
        <v>273</v>
      </c>
      <c r="D32" s="188"/>
      <c r="E32" s="188"/>
      <c r="F32" s="188"/>
      <c r="G32" s="188"/>
      <c r="H32" s="188"/>
      <c r="I32" s="188"/>
      <c r="J32" s="190"/>
      <c r="K32" s="19"/>
    </row>
    <row r="33" spans="2:11" ht="12">
      <c r="B33" s="193">
        <v>36</v>
      </c>
      <c r="C33" s="194" t="s">
        <v>385</v>
      </c>
      <c r="D33" s="188"/>
      <c r="E33" s="188"/>
      <c r="F33" s="188"/>
      <c r="G33" s="188"/>
      <c r="H33" s="188"/>
      <c r="I33" s="188"/>
      <c r="J33" s="190"/>
      <c r="K33" s="19"/>
    </row>
    <row r="34" spans="2:11" ht="12">
      <c r="B34" s="193">
        <v>37</v>
      </c>
      <c r="C34" s="194" t="s">
        <v>275</v>
      </c>
      <c r="D34" s="188"/>
      <c r="E34" s="188"/>
      <c r="F34" s="188"/>
      <c r="G34" s="188"/>
      <c r="H34" s="188"/>
      <c r="I34" s="188"/>
      <c r="J34" s="190"/>
      <c r="K34" s="19"/>
    </row>
    <row r="35" spans="2:11" ht="12">
      <c r="B35" s="193">
        <v>38</v>
      </c>
      <c r="C35" s="194" t="s">
        <v>276</v>
      </c>
      <c r="D35" s="188"/>
      <c r="E35" s="188"/>
      <c r="F35" s="188"/>
      <c r="G35" s="188"/>
      <c r="H35" s="188"/>
      <c r="I35" s="188"/>
      <c r="J35" s="190"/>
      <c r="K35" s="19"/>
    </row>
    <row r="36" spans="2:15" ht="12">
      <c r="B36" s="193">
        <v>39</v>
      </c>
      <c r="C36" s="194" t="s">
        <v>17</v>
      </c>
      <c r="D36" s="188"/>
      <c r="E36" s="188">
        <v>0</v>
      </c>
      <c r="F36" s="188">
        <v>-12267</v>
      </c>
      <c r="G36" s="188"/>
      <c r="H36" s="188"/>
      <c r="I36" s="188"/>
      <c r="J36" s="190">
        <v>12267</v>
      </c>
      <c r="K36" s="19"/>
      <c r="L36" s="19"/>
      <c r="M36" s="19"/>
      <c r="O36" s="19"/>
    </row>
    <row r="37" spans="2:11" ht="12">
      <c r="B37" s="193">
        <v>41</v>
      </c>
      <c r="C37" s="194" t="s">
        <v>108</v>
      </c>
      <c r="D37" s="188"/>
      <c r="E37" s="188"/>
      <c r="F37" s="188"/>
      <c r="G37" s="188"/>
      <c r="H37" s="188"/>
      <c r="I37" s="188"/>
      <c r="J37" s="190"/>
      <c r="K37" s="19"/>
    </row>
    <row r="38" spans="2:11" ht="12">
      <c r="B38" s="193">
        <v>42</v>
      </c>
      <c r="C38" s="194" t="s">
        <v>110</v>
      </c>
      <c r="D38" s="188"/>
      <c r="E38" s="188"/>
      <c r="F38" s="188"/>
      <c r="G38" s="188"/>
      <c r="H38" s="188"/>
      <c r="I38" s="188"/>
      <c r="J38" s="190"/>
      <c r="K38" s="19"/>
    </row>
    <row r="39" spans="2:11" ht="12">
      <c r="B39" s="193">
        <v>43</v>
      </c>
      <c r="C39" s="194" t="s">
        <v>112</v>
      </c>
      <c r="D39" s="188"/>
      <c r="E39" s="188"/>
      <c r="F39" s="188"/>
      <c r="G39" s="188"/>
      <c r="H39" s="188"/>
      <c r="I39" s="188"/>
      <c r="J39" s="190"/>
      <c r="K39" s="19"/>
    </row>
    <row r="40" spans="2:11" ht="12">
      <c r="B40" s="193">
        <v>44</v>
      </c>
      <c r="C40" s="194" t="s">
        <v>113</v>
      </c>
      <c r="D40" s="188"/>
      <c r="E40" s="188"/>
      <c r="F40" s="188"/>
      <c r="G40" s="188"/>
      <c r="H40" s="188"/>
      <c r="I40" s="188"/>
      <c r="J40" s="190"/>
      <c r="K40" s="19"/>
    </row>
    <row r="41" spans="2:11" ht="12">
      <c r="B41" s="193">
        <v>45</v>
      </c>
      <c r="C41" s="194" t="s">
        <v>115</v>
      </c>
      <c r="D41" s="188"/>
      <c r="E41" s="188"/>
      <c r="F41" s="188"/>
      <c r="G41" s="188"/>
      <c r="H41" s="188"/>
      <c r="I41" s="188"/>
      <c r="J41" s="190"/>
      <c r="K41" s="19"/>
    </row>
    <row r="42" spans="2:11" ht="12">
      <c r="B42" s="193">
        <v>46</v>
      </c>
      <c r="C42" s="194" t="s">
        <v>386</v>
      </c>
      <c r="D42" s="188"/>
      <c r="E42" s="188"/>
      <c r="F42" s="188"/>
      <c r="G42" s="188"/>
      <c r="H42" s="188"/>
      <c r="I42" s="188"/>
      <c r="J42" s="190"/>
      <c r="K42" s="19"/>
    </row>
    <row r="43" spans="2:11" ht="12">
      <c r="B43" s="193">
        <v>47</v>
      </c>
      <c r="C43" s="194" t="s">
        <v>119</v>
      </c>
      <c r="D43" s="188"/>
      <c r="E43" s="188"/>
      <c r="F43" s="188"/>
      <c r="G43" s="188"/>
      <c r="H43" s="188"/>
      <c r="I43" s="188"/>
      <c r="J43" s="190"/>
      <c r="K43" s="19"/>
    </row>
    <row r="44" spans="2:11" ht="12">
      <c r="B44" s="193">
        <v>48</v>
      </c>
      <c r="C44" s="194" t="s">
        <v>120</v>
      </c>
      <c r="D44" s="188"/>
      <c r="E44" s="188"/>
      <c r="F44" s="188"/>
      <c r="G44" s="188"/>
      <c r="H44" s="188"/>
      <c r="I44" s="188"/>
      <c r="J44" s="190"/>
      <c r="K44" s="19"/>
    </row>
    <row r="45" spans="2:13" ht="12">
      <c r="B45" s="193">
        <v>49</v>
      </c>
      <c r="C45" s="194" t="s">
        <v>122</v>
      </c>
      <c r="D45" s="188"/>
      <c r="E45" s="188"/>
      <c r="F45" s="188"/>
      <c r="G45" s="188"/>
      <c r="H45" s="188"/>
      <c r="I45" s="188"/>
      <c r="J45" s="190"/>
      <c r="K45" s="19"/>
      <c r="L45" s="19"/>
      <c r="M45" s="19"/>
    </row>
    <row r="46" spans="2:11" ht="12">
      <c r="B46" s="193">
        <v>51</v>
      </c>
      <c r="C46" s="194" t="s">
        <v>279</v>
      </c>
      <c r="D46" s="188">
        <v>-500000</v>
      </c>
      <c r="E46" s="188">
        <v>5155.37</v>
      </c>
      <c r="F46" s="188">
        <v>127841.87</v>
      </c>
      <c r="G46" s="188"/>
      <c r="H46" s="188"/>
      <c r="I46" s="188"/>
      <c r="J46" s="190">
        <v>367002.76</v>
      </c>
      <c r="K46" s="19"/>
    </row>
    <row r="47" spans="2:11" ht="12">
      <c r="B47" s="193">
        <v>52</v>
      </c>
      <c r="C47" s="194" t="s">
        <v>280</v>
      </c>
      <c r="D47" s="188"/>
      <c r="E47" s="188"/>
      <c r="F47" s="188"/>
      <c r="G47" s="188"/>
      <c r="H47" s="188"/>
      <c r="I47" s="188"/>
      <c r="J47" s="190"/>
      <c r="K47" s="19"/>
    </row>
    <row r="48" spans="2:11" ht="12">
      <c r="B48" s="193">
        <v>53</v>
      </c>
      <c r="C48" s="194" t="s">
        <v>281</v>
      </c>
      <c r="D48" s="188"/>
      <c r="E48" s="188"/>
      <c r="F48" s="188"/>
      <c r="G48" s="188"/>
      <c r="H48" s="188"/>
      <c r="I48" s="188"/>
      <c r="J48" s="190"/>
      <c r="K48" s="19"/>
    </row>
    <row r="49" spans="2:11" ht="12">
      <c r="B49" s="193">
        <v>54</v>
      </c>
      <c r="C49" s="194" t="s">
        <v>282</v>
      </c>
      <c r="D49" s="188"/>
      <c r="E49" s="188">
        <v>730000</v>
      </c>
      <c r="F49" s="188">
        <v>-730000</v>
      </c>
      <c r="G49" s="188"/>
      <c r="H49" s="188"/>
      <c r="I49" s="188"/>
      <c r="J49" s="190"/>
      <c r="K49" s="19"/>
    </row>
    <row r="50" spans="2:11" ht="12">
      <c r="B50" s="193">
        <v>55</v>
      </c>
      <c r="C50" s="194" t="s">
        <v>283</v>
      </c>
      <c r="D50" s="188"/>
      <c r="E50" s="188"/>
      <c r="F50" s="188"/>
      <c r="G50" s="188"/>
      <c r="H50" s="188"/>
      <c r="I50" s="188"/>
      <c r="J50" s="190"/>
      <c r="K50" s="19"/>
    </row>
    <row r="51" spans="2:11" ht="12">
      <c r="B51" s="193">
        <v>56</v>
      </c>
      <c r="C51" s="194" t="s">
        <v>387</v>
      </c>
      <c r="D51" s="188"/>
      <c r="E51" s="188">
        <v>27492</v>
      </c>
      <c r="F51" s="188">
        <v>-27492</v>
      </c>
      <c r="G51" s="188"/>
      <c r="H51" s="188"/>
      <c r="I51" s="188"/>
      <c r="J51" s="190"/>
      <c r="K51" s="19"/>
    </row>
    <row r="52" spans="2:11" ht="12">
      <c r="B52" s="193">
        <v>57</v>
      </c>
      <c r="C52" s="194" t="s">
        <v>285</v>
      </c>
      <c r="D52" s="188"/>
      <c r="E52" s="188"/>
      <c r="F52" s="188"/>
      <c r="G52" s="188"/>
      <c r="H52" s="188"/>
      <c r="I52" s="188"/>
      <c r="J52" s="190"/>
      <c r="K52" s="19"/>
    </row>
    <row r="53" spans="2:11" ht="12">
      <c r="B53" s="193">
        <v>58</v>
      </c>
      <c r="C53" s="194" t="s">
        <v>286</v>
      </c>
      <c r="D53" s="188"/>
      <c r="E53" s="188"/>
      <c r="F53" s="188"/>
      <c r="G53" s="188"/>
      <c r="H53" s="188"/>
      <c r="I53" s="188"/>
      <c r="J53" s="190"/>
      <c r="K53" s="19"/>
    </row>
    <row r="54" spans="2:11" ht="12">
      <c r="B54" s="193">
        <v>59</v>
      </c>
      <c r="C54" s="194" t="s">
        <v>185</v>
      </c>
      <c r="D54" s="188"/>
      <c r="E54" s="188"/>
      <c r="F54" s="188"/>
      <c r="G54" s="188"/>
      <c r="H54" s="188"/>
      <c r="I54" s="188"/>
      <c r="J54" s="190"/>
      <c r="K54" s="19"/>
    </row>
    <row r="55" spans="2:12" ht="12">
      <c r="B55" s="193">
        <v>61</v>
      </c>
      <c r="C55" s="194" t="s">
        <v>287</v>
      </c>
      <c r="D55" s="188"/>
      <c r="E55" s="188"/>
      <c r="F55" s="188"/>
      <c r="G55" s="188"/>
      <c r="H55" s="188"/>
      <c r="I55" s="188"/>
      <c r="J55" s="190"/>
      <c r="K55" s="19"/>
      <c r="L55" s="19"/>
    </row>
    <row r="56" spans="2:11" ht="12">
      <c r="B56" s="193">
        <v>62</v>
      </c>
      <c r="C56" s="194" t="s">
        <v>288</v>
      </c>
      <c r="D56" s="188"/>
      <c r="E56" s="188"/>
      <c r="F56" s="188"/>
      <c r="G56" s="188"/>
      <c r="H56" s="188"/>
      <c r="I56" s="188"/>
      <c r="J56" s="190"/>
      <c r="K56" s="19"/>
    </row>
    <row r="57" spans="2:11" ht="12">
      <c r="B57" s="193">
        <v>63</v>
      </c>
      <c r="C57" s="194" t="s">
        <v>289</v>
      </c>
      <c r="D57" s="188"/>
      <c r="E57" s="188"/>
      <c r="F57" s="188"/>
      <c r="G57" s="188"/>
      <c r="H57" s="188"/>
      <c r="I57" s="188"/>
      <c r="J57" s="190"/>
      <c r="K57" s="19"/>
    </row>
    <row r="58" spans="2:11" ht="12">
      <c r="B58" s="193">
        <v>71</v>
      </c>
      <c r="C58" s="194" t="s">
        <v>388</v>
      </c>
      <c r="D58" s="188"/>
      <c r="E58" s="188"/>
      <c r="F58" s="188"/>
      <c r="G58" s="188"/>
      <c r="H58" s="188"/>
      <c r="I58" s="188"/>
      <c r="J58" s="190"/>
      <c r="K58" s="19"/>
    </row>
    <row r="59" spans="2:11" ht="12">
      <c r="B59" s="193">
        <v>72</v>
      </c>
      <c r="C59" s="194" t="s">
        <v>292</v>
      </c>
      <c r="D59" s="188"/>
      <c r="E59" s="188"/>
      <c r="F59" s="188"/>
      <c r="G59" s="188"/>
      <c r="H59" s="188"/>
      <c r="I59" s="188"/>
      <c r="J59" s="190"/>
      <c r="K59" s="19"/>
    </row>
    <row r="60" spans="2:11" ht="12">
      <c r="B60" s="193">
        <v>73</v>
      </c>
      <c r="C60" s="194" t="s">
        <v>293</v>
      </c>
      <c r="D60" s="188"/>
      <c r="E60" s="188"/>
      <c r="F60" s="188"/>
      <c r="G60" s="188"/>
      <c r="H60" s="188"/>
      <c r="I60" s="188"/>
      <c r="J60" s="190"/>
      <c r="K60" s="19"/>
    </row>
    <row r="61" spans="2:11" ht="12">
      <c r="B61" s="193">
        <v>74</v>
      </c>
      <c r="C61" s="194" t="s">
        <v>294</v>
      </c>
      <c r="D61" s="188"/>
      <c r="E61" s="188"/>
      <c r="F61" s="188"/>
      <c r="G61" s="188"/>
      <c r="H61" s="188"/>
      <c r="I61" s="188"/>
      <c r="J61" s="190"/>
      <c r="K61" s="19"/>
    </row>
    <row r="62" spans="2:11" ht="12">
      <c r="B62" s="193">
        <v>75</v>
      </c>
      <c r="C62" s="194" t="s">
        <v>389</v>
      </c>
      <c r="D62" s="188"/>
      <c r="E62" s="188"/>
      <c r="F62" s="188"/>
      <c r="G62" s="188"/>
      <c r="H62" s="188"/>
      <c r="I62" s="188"/>
      <c r="J62" s="190"/>
      <c r="K62" s="19"/>
    </row>
    <row r="63" spans="2:11" ht="12">
      <c r="B63" s="193">
        <v>76</v>
      </c>
      <c r="C63" s="194" t="s">
        <v>296</v>
      </c>
      <c r="D63" s="188"/>
      <c r="E63" s="188"/>
      <c r="F63" s="188"/>
      <c r="G63" s="188"/>
      <c r="H63" s="188"/>
      <c r="I63" s="188"/>
      <c r="J63" s="190"/>
      <c r="K63" s="19"/>
    </row>
    <row r="64" spans="2:11" ht="12">
      <c r="B64" s="193">
        <v>79</v>
      </c>
      <c r="C64" s="194" t="s">
        <v>390</v>
      </c>
      <c r="D64" s="188"/>
      <c r="E64" s="188"/>
      <c r="F64" s="188"/>
      <c r="G64" s="188"/>
      <c r="H64" s="188"/>
      <c r="I64" s="188"/>
      <c r="J64" s="190"/>
      <c r="K64" s="19"/>
    </row>
    <row r="65" spans="2:11" ht="12">
      <c r="B65" s="193">
        <v>81</v>
      </c>
      <c r="C65" s="194" t="s">
        <v>126</v>
      </c>
      <c r="D65" s="188"/>
      <c r="E65" s="188"/>
      <c r="F65" s="188"/>
      <c r="G65" s="188"/>
      <c r="H65" s="188"/>
      <c r="I65" s="188"/>
      <c r="J65" s="190"/>
      <c r="K65" s="19"/>
    </row>
    <row r="66" spans="2:11" ht="12">
      <c r="B66" s="193">
        <v>83</v>
      </c>
      <c r="C66" s="194" t="s">
        <v>128</v>
      </c>
      <c r="D66" s="188"/>
      <c r="E66" s="188"/>
      <c r="F66" s="188"/>
      <c r="G66" s="188"/>
      <c r="H66" s="188"/>
      <c r="I66" s="188"/>
      <c r="J66" s="190"/>
      <c r="K66" s="19"/>
    </row>
    <row r="67" spans="2:13" ht="12">
      <c r="B67" s="193">
        <v>85</v>
      </c>
      <c r="C67" s="194" t="s">
        <v>130</v>
      </c>
      <c r="D67" s="188"/>
      <c r="E67" s="188"/>
      <c r="F67" s="188"/>
      <c r="G67" s="188"/>
      <c r="H67" s="188"/>
      <c r="I67" s="188"/>
      <c r="J67" s="190"/>
      <c r="K67" s="19"/>
      <c r="L67" s="19"/>
      <c r="M67" s="19"/>
    </row>
    <row r="68" spans="2:11" ht="12">
      <c r="B68" s="193">
        <v>91</v>
      </c>
      <c r="C68" s="194" t="s">
        <v>299</v>
      </c>
      <c r="D68" s="188"/>
      <c r="E68" s="188"/>
      <c r="F68" s="188"/>
      <c r="G68" s="188"/>
      <c r="H68" s="188"/>
      <c r="I68" s="188"/>
      <c r="J68" s="190"/>
      <c r="K68" s="19"/>
    </row>
    <row r="69" spans="2:11" ht="12">
      <c r="B69" s="193">
        <v>92</v>
      </c>
      <c r="C69" s="194" t="s">
        <v>133</v>
      </c>
      <c r="D69" s="188"/>
      <c r="E69" s="188"/>
      <c r="F69" s="188"/>
      <c r="G69" s="188"/>
      <c r="H69" s="188"/>
      <c r="I69" s="188"/>
      <c r="J69" s="190"/>
      <c r="K69" s="19"/>
    </row>
    <row r="70" spans="2:11" ht="12">
      <c r="B70" s="193">
        <v>93</v>
      </c>
      <c r="C70" s="194" t="s">
        <v>134</v>
      </c>
      <c r="D70" s="188"/>
      <c r="E70" s="188"/>
      <c r="F70" s="188"/>
      <c r="G70" s="188"/>
      <c r="H70" s="188"/>
      <c r="I70" s="188"/>
      <c r="J70" s="190"/>
      <c r="K70" s="19"/>
    </row>
    <row r="71" spans="2:11" ht="12">
      <c r="B71" s="193">
        <v>94</v>
      </c>
      <c r="C71" s="194" t="s">
        <v>135</v>
      </c>
      <c r="D71" s="188"/>
      <c r="E71" s="188"/>
      <c r="F71" s="188"/>
      <c r="G71" s="188"/>
      <c r="H71" s="188"/>
      <c r="I71" s="188"/>
      <c r="J71" s="190"/>
      <c r="K71" s="19"/>
    </row>
    <row r="72" spans="2:11" ht="12">
      <c r="B72" s="193">
        <v>95</v>
      </c>
      <c r="C72" s="194" t="s">
        <v>136</v>
      </c>
      <c r="D72" s="188"/>
      <c r="E72" s="188"/>
      <c r="F72" s="188"/>
      <c r="G72" s="188"/>
      <c r="H72" s="188"/>
      <c r="I72" s="188"/>
      <c r="J72" s="190"/>
      <c r="K72" s="19"/>
    </row>
    <row r="73" spans="2:11" ht="12">
      <c r="B73" s="193">
        <v>96</v>
      </c>
      <c r="C73" s="194" t="s">
        <v>137</v>
      </c>
      <c r="D73" s="188"/>
      <c r="E73" s="188"/>
      <c r="F73" s="188"/>
      <c r="G73" s="188"/>
      <c r="H73" s="188"/>
      <c r="I73" s="188"/>
      <c r="J73" s="190"/>
      <c r="K73" s="19"/>
    </row>
    <row r="74" spans="2:11" ht="12">
      <c r="B74" s="193">
        <v>99</v>
      </c>
      <c r="C74" s="194" t="s">
        <v>391</v>
      </c>
      <c r="D74" s="188"/>
      <c r="E74" s="188"/>
      <c r="F74" s="188"/>
      <c r="G74" s="188"/>
      <c r="H74" s="188"/>
      <c r="I74" s="188"/>
      <c r="J74" s="190"/>
      <c r="K74" s="19"/>
    </row>
    <row r="75" spans="2:11" s="21" customFormat="1" ht="12">
      <c r="B75" s="366"/>
      <c r="C75" s="122" t="s">
        <v>754</v>
      </c>
      <c r="D75" s="300"/>
      <c r="E75" s="300"/>
      <c r="F75" s="300"/>
      <c r="G75" s="300"/>
      <c r="H75" s="300"/>
      <c r="I75" s="300"/>
      <c r="J75" s="301"/>
      <c r="K75" s="367"/>
    </row>
    <row r="76" spans="2:11" ht="12">
      <c r="B76" s="193">
        <v>11</v>
      </c>
      <c r="C76" s="194" t="s">
        <v>253</v>
      </c>
      <c r="D76" s="188">
        <v>-2620765754</v>
      </c>
      <c r="E76" s="188">
        <f>1356248993.5-9676463-50501174.57</f>
        <v>1296071355.93</v>
      </c>
      <c r="F76" s="188">
        <v>-329970846.07</v>
      </c>
      <c r="G76" s="188"/>
      <c r="H76" s="188">
        <v>0</v>
      </c>
      <c r="I76" s="188">
        <v>1563306286.3599992</v>
      </c>
      <c r="J76" s="190">
        <v>91358957.78</v>
      </c>
      <c r="K76" s="19"/>
    </row>
    <row r="77" spans="2:11" ht="12">
      <c r="B77" s="193">
        <v>12</v>
      </c>
      <c r="C77" s="194" t="s">
        <v>254</v>
      </c>
      <c r="D77" s="188">
        <v>-28453273</v>
      </c>
      <c r="E77" s="188">
        <v>9959079.45</v>
      </c>
      <c r="F77" s="188">
        <v>-1385687.76</v>
      </c>
      <c r="G77" s="188"/>
      <c r="H77" s="188">
        <v>0</v>
      </c>
      <c r="I77" s="188">
        <v>8350280.779999999</v>
      </c>
      <c r="J77" s="190">
        <v>11529600.530000001</v>
      </c>
      <c r="K77" s="19"/>
    </row>
    <row r="78" spans="2:11" ht="12">
      <c r="B78" s="193">
        <v>13</v>
      </c>
      <c r="C78" s="194" t="s">
        <v>255</v>
      </c>
      <c r="D78" s="188">
        <v>-1195648038</v>
      </c>
      <c r="E78" s="188">
        <v>689910529.38</v>
      </c>
      <c r="F78" s="188">
        <v>143035781.98</v>
      </c>
      <c r="G78" s="188"/>
      <c r="H78" s="188">
        <v>0</v>
      </c>
      <c r="I78" s="188">
        <v>295448946.83</v>
      </c>
      <c r="J78" s="190">
        <v>67252779.81</v>
      </c>
      <c r="K78" s="19"/>
    </row>
    <row r="79" spans="2:11" ht="12">
      <c r="B79" s="193">
        <v>14</v>
      </c>
      <c r="C79" s="194" t="s">
        <v>256</v>
      </c>
      <c r="D79" s="188">
        <v>-521993330</v>
      </c>
      <c r="E79" s="188">
        <v>155623817.03</v>
      </c>
      <c r="F79" s="188">
        <v>59122821.44</v>
      </c>
      <c r="G79" s="188"/>
      <c r="H79" s="188">
        <v>0</v>
      </c>
      <c r="I79" s="188">
        <v>287041878.49</v>
      </c>
      <c r="J79" s="190">
        <v>20204813.040000007</v>
      </c>
      <c r="K79" s="19"/>
    </row>
    <row r="80" spans="2:11" ht="12">
      <c r="B80" s="193">
        <v>15</v>
      </c>
      <c r="C80" s="194" t="s">
        <v>257</v>
      </c>
      <c r="D80" s="188">
        <v>-697406013</v>
      </c>
      <c r="E80" s="188">
        <v>397133529.56</v>
      </c>
      <c r="F80" s="188">
        <v>12324445.6</v>
      </c>
      <c r="G80" s="188"/>
      <c r="H80" s="188">
        <v>0</v>
      </c>
      <c r="I80" s="188">
        <v>267878307.4599999</v>
      </c>
      <c r="J80" s="190">
        <v>20069730.380000003</v>
      </c>
      <c r="K80" s="19"/>
    </row>
    <row r="81" spans="2:11" ht="12">
      <c r="B81" s="193">
        <v>16</v>
      </c>
      <c r="C81" s="194" t="s">
        <v>258</v>
      </c>
      <c r="D81" s="188">
        <v>0</v>
      </c>
      <c r="E81" s="188">
        <v>0</v>
      </c>
      <c r="F81" s="188">
        <v>0</v>
      </c>
      <c r="G81" s="188"/>
      <c r="H81" s="188">
        <v>0</v>
      </c>
      <c r="I81" s="188">
        <v>0</v>
      </c>
      <c r="J81" s="190">
        <v>0</v>
      </c>
      <c r="K81" s="19"/>
    </row>
    <row r="82" spans="2:11" ht="12">
      <c r="B82" s="193">
        <v>17</v>
      </c>
      <c r="C82" s="194" t="s">
        <v>259</v>
      </c>
      <c r="D82" s="188">
        <v>-1494187988</v>
      </c>
      <c r="E82" s="188">
        <v>556743935.95</v>
      </c>
      <c r="F82" s="188">
        <v>202887911.49</v>
      </c>
      <c r="G82" s="188"/>
      <c r="H82" s="188">
        <v>0</v>
      </c>
      <c r="I82" s="188">
        <v>689337812.4900001</v>
      </c>
      <c r="J82" s="190">
        <v>45218328.06</v>
      </c>
      <c r="K82" s="19"/>
    </row>
    <row r="83" spans="2:11" ht="12">
      <c r="B83" s="193">
        <v>21</v>
      </c>
      <c r="C83" s="194" t="s">
        <v>260</v>
      </c>
      <c r="D83" s="188">
        <v>-19105999</v>
      </c>
      <c r="E83" s="188">
        <v>4219982.43</v>
      </c>
      <c r="F83" s="188">
        <v>-86352457.5</v>
      </c>
      <c r="G83" s="188"/>
      <c r="H83" s="188">
        <v>190836.89</v>
      </c>
      <c r="I83" s="188">
        <v>1717616.4</v>
      </c>
      <c r="J83" s="190">
        <v>99330020.78</v>
      </c>
      <c r="K83" s="19"/>
    </row>
    <row r="84" spans="2:11" ht="12">
      <c r="B84" s="193">
        <v>22</v>
      </c>
      <c r="C84" s="194" t="s">
        <v>261</v>
      </c>
      <c r="D84" s="188">
        <v>-46614401</v>
      </c>
      <c r="E84" s="188">
        <v>23865191.72</v>
      </c>
      <c r="F84" s="188">
        <v>18243492.98</v>
      </c>
      <c r="G84" s="188"/>
      <c r="H84" s="188">
        <v>31880.79999999999</v>
      </c>
      <c r="I84" s="188">
        <v>133406.0000000001</v>
      </c>
      <c r="J84" s="190">
        <v>4340429.5</v>
      </c>
      <c r="K84" s="19"/>
    </row>
    <row r="85" spans="2:11" ht="12">
      <c r="B85" s="193">
        <v>23</v>
      </c>
      <c r="C85" s="194" t="s">
        <v>262</v>
      </c>
      <c r="D85" s="188"/>
      <c r="E85" s="188">
        <v>0.2</v>
      </c>
      <c r="F85" s="188">
        <v>-2147</v>
      </c>
      <c r="G85" s="188"/>
      <c r="H85" s="188">
        <v>0</v>
      </c>
      <c r="I85" s="188">
        <v>0</v>
      </c>
      <c r="J85" s="190">
        <v>2146.8</v>
      </c>
      <c r="K85" s="19"/>
    </row>
    <row r="86" spans="2:11" ht="12">
      <c r="B86" s="193">
        <v>24</v>
      </c>
      <c r="C86" s="194" t="s">
        <v>263</v>
      </c>
      <c r="D86" s="188">
        <v>-3794142</v>
      </c>
      <c r="E86" s="188">
        <v>2238962.74</v>
      </c>
      <c r="F86" s="188">
        <v>-1158369.48</v>
      </c>
      <c r="G86" s="188"/>
      <c r="H86" s="188">
        <v>7999.99</v>
      </c>
      <c r="I86" s="188">
        <v>4489.75</v>
      </c>
      <c r="J86" s="190">
        <v>2701058.9999999995</v>
      </c>
      <c r="K86" s="19"/>
    </row>
    <row r="87" spans="2:11" ht="12">
      <c r="B87" s="193">
        <v>25</v>
      </c>
      <c r="C87" s="194" t="s">
        <v>382</v>
      </c>
      <c r="D87" s="188">
        <v>-186587</v>
      </c>
      <c r="E87" s="188">
        <v>16151.84</v>
      </c>
      <c r="F87" s="188">
        <v>33486.54</v>
      </c>
      <c r="G87" s="188"/>
      <c r="H87" s="188">
        <v>2411.8100000000004</v>
      </c>
      <c r="I87" s="188">
        <v>7231.150000000003</v>
      </c>
      <c r="J87" s="190">
        <v>127305.66</v>
      </c>
      <c r="K87" s="19"/>
    </row>
    <row r="88" spans="2:11" ht="12">
      <c r="B88" s="193">
        <v>26</v>
      </c>
      <c r="C88" s="194" t="s">
        <v>265</v>
      </c>
      <c r="D88" s="188">
        <v>-5934626</v>
      </c>
      <c r="E88" s="188">
        <v>1606687.2</v>
      </c>
      <c r="F88" s="188">
        <v>242453.19</v>
      </c>
      <c r="G88" s="188"/>
      <c r="H88" s="188">
        <v>17253.110000000008</v>
      </c>
      <c r="I88" s="188">
        <v>389468.69000000006</v>
      </c>
      <c r="J88" s="190">
        <v>3678763.8100000005</v>
      </c>
      <c r="K88" s="19"/>
    </row>
    <row r="89" spans="2:11" ht="12">
      <c r="B89" s="193">
        <v>27</v>
      </c>
      <c r="C89" s="194" t="s">
        <v>266</v>
      </c>
      <c r="D89" s="188">
        <v>-3998115</v>
      </c>
      <c r="E89" s="188">
        <v>234315.23</v>
      </c>
      <c r="F89" s="188">
        <v>-20095185.12</v>
      </c>
      <c r="G89" s="188"/>
      <c r="H89" s="188">
        <v>0</v>
      </c>
      <c r="I89" s="188">
        <v>52971.07</v>
      </c>
      <c r="J89" s="190">
        <v>23806013.819999997</v>
      </c>
      <c r="K89" s="19"/>
    </row>
    <row r="90" spans="2:11" ht="12">
      <c r="B90" s="193">
        <v>28</v>
      </c>
      <c r="C90" s="194" t="s">
        <v>383</v>
      </c>
      <c r="D90" s="188"/>
      <c r="E90" s="188">
        <v>0</v>
      </c>
      <c r="F90" s="188">
        <v>0</v>
      </c>
      <c r="G90" s="188"/>
      <c r="H90" s="188">
        <v>0</v>
      </c>
      <c r="I90" s="188">
        <v>0</v>
      </c>
      <c r="J90" s="190">
        <v>0</v>
      </c>
      <c r="K90" s="19"/>
    </row>
    <row r="91" spans="2:11" ht="12">
      <c r="B91" s="193">
        <v>29</v>
      </c>
      <c r="C91" s="194" t="s">
        <v>268</v>
      </c>
      <c r="D91" s="188">
        <v>-615217</v>
      </c>
      <c r="E91" s="188">
        <v>62176.82</v>
      </c>
      <c r="F91" s="188">
        <v>428571.75</v>
      </c>
      <c r="G91" s="188"/>
      <c r="H91" s="188">
        <v>4764.360000000001</v>
      </c>
      <c r="I91" s="188">
        <v>15987.169999999996</v>
      </c>
      <c r="J91" s="190">
        <v>103716.90000000002</v>
      </c>
      <c r="K91" s="19"/>
    </row>
    <row r="92" spans="2:11" ht="12">
      <c r="B92" s="193">
        <v>31</v>
      </c>
      <c r="C92" s="194" t="s">
        <v>269</v>
      </c>
      <c r="D92" s="188">
        <v>-39112801</v>
      </c>
      <c r="E92" s="188">
        <v>8802192.61</v>
      </c>
      <c r="F92" s="188">
        <v>-5159175.16</v>
      </c>
      <c r="G92" s="188"/>
      <c r="H92" s="188">
        <v>3499</v>
      </c>
      <c r="I92" s="188">
        <v>326026.5200000001</v>
      </c>
      <c r="J92" s="190">
        <v>35140258.03000002</v>
      </c>
      <c r="K92" s="19"/>
    </row>
    <row r="93" spans="2:11" ht="12">
      <c r="B93" s="193">
        <v>32</v>
      </c>
      <c r="C93" s="194" t="s">
        <v>270</v>
      </c>
      <c r="D93" s="188">
        <v>-9650614</v>
      </c>
      <c r="E93" s="188">
        <v>3068521.24</v>
      </c>
      <c r="F93" s="188">
        <v>-7373955.97</v>
      </c>
      <c r="G93" s="188"/>
      <c r="H93" s="188">
        <v>0</v>
      </c>
      <c r="I93" s="188">
        <v>81173.90000000001</v>
      </c>
      <c r="J93" s="190">
        <v>13874874.829999993</v>
      </c>
      <c r="K93" s="19"/>
    </row>
    <row r="94" spans="2:11" ht="12">
      <c r="B94" s="193">
        <v>33</v>
      </c>
      <c r="C94" s="194" t="s">
        <v>384</v>
      </c>
      <c r="D94" s="188">
        <v>-35263416</v>
      </c>
      <c r="E94" s="188">
        <v>71354431.49</v>
      </c>
      <c r="F94" s="188">
        <v>-77803951.64</v>
      </c>
      <c r="G94" s="188"/>
      <c r="H94" s="188">
        <v>4706419.32</v>
      </c>
      <c r="I94" s="188">
        <v>1602243.5800000005</v>
      </c>
      <c r="J94" s="190">
        <v>35404273.24999998</v>
      </c>
      <c r="K94" s="19"/>
    </row>
    <row r="95" spans="2:11" ht="12">
      <c r="B95" s="193">
        <v>34</v>
      </c>
      <c r="C95" s="194" t="s">
        <v>272</v>
      </c>
      <c r="D95" s="188">
        <v>-8965265</v>
      </c>
      <c r="E95" s="188">
        <v>618333.13</v>
      </c>
      <c r="F95" s="188">
        <v>256505.82</v>
      </c>
      <c r="G95" s="188"/>
      <c r="H95" s="188">
        <v>226924.21999999997</v>
      </c>
      <c r="I95" s="188">
        <v>1654290</v>
      </c>
      <c r="J95" s="190">
        <v>6209211.830000001</v>
      </c>
      <c r="K95" s="19"/>
    </row>
    <row r="96" spans="2:11" ht="12">
      <c r="B96" s="193">
        <v>35</v>
      </c>
      <c r="C96" s="194" t="s">
        <v>273</v>
      </c>
      <c r="D96" s="188">
        <v>-17118903</v>
      </c>
      <c r="E96" s="188">
        <v>30097.89</v>
      </c>
      <c r="F96" s="188">
        <v>5351774.78</v>
      </c>
      <c r="G96" s="188"/>
      <c r="H96" s="188">
        <v>36111.44</v>
      </c>
      <c r="I96" s="188">
        <v>819580.5500000002</v>
      </c>
      <c r="J96" s="190">
        <v>10881338.79</v>
      </c>
      <c r="K96" s="19"/>
    </row>
    <row r="97" spans="2:11" ht="12">
      <c r="B97" s="193">
        <v>36</v>
      </c>
      <c r="C97" s="194" t="s">
        <v>385</v>
      </c>
      <c r="D97" s="188">
        <v>-320120</v>
      </c>
      <c r="E97" s="188">
        <v>87.99</v>
      </c>
      <c r="F97" s="188">
        <v>286769.84</v>
      </c>
      <c r="G97" s="188"/>
      <c r="H97" s="188">
        <v>0</v>
      </c>
      <c r="I97" s="188">
        <v>0</v>
      </c>
      <c r="J97" s="190">
        <v>33262.16</v>
      </c>
      <c r="K97" s="19"/>
    </row>
    <row r="98" spans="2:11" ht="12">
      <c r="B98" s="193">
        <v>37</v>
      </c>
      <c r="C98" s="194" t="s">
        <v>275</v>
      </c>
      <c r="D98" s="188">
        <v>-5655333</v>
      </c>
      <c r="E98" s="188">
        <v>797404.29</v>
      </c>
      <c r="F98" s="188">
        <v>2685608.4</v>
      </c>
      <c r="G98" s="188"/>
      <c r="H98" s="188">
        <v>74638.1</v>
      </c>
      <c r="I98" s="188">
        <v>114692.80999999998</v>
      </c>
      <c r="J98" s="190">
        <v>1982989.4</v>
      </c>
      <c r="K98" s="19"/>
    </row>
    <row r="99" spans="2:11" ht="12">
      <c r="B99" s="193">
        <v>38</v>
      </c>
      <c r="C99" s="194" t="s">
        <v>276</v>
      </c>
      <c r="D99" s="188">
        <v>-26484373</v>
      </c>
      <c r="E99" s="188">
        <v>4880643.6</v>
      </c>
      <c r="F99" s="188">
        <v>-3310214.78</v>
      </c>
      <c r="G99" s="188"/>
      <c r="H99" s="188">
        <v>83122.91</v>
      </c>
      <c r="I99" s="188">
        <v>156806.32999999964</v>
      </c>
      <c r="J99" s="190">
        <v>24674014.93999999</v>
      </c>
      <c r="K99" s="19"/>
    </row>
    <row r="100" spans="2:11" ht="12">
      <c r="B100" s="193">
        <v>39</v>
      </c>
      <c r="C100" s="194" t="s">
        <v>17</v>
      </c>
      <c r="D100" s="188">
        <v>-131906481</v>
      </c>
      <c r="E100" s="188">
        <v>46053779.85</v>
      </c>
      <c r="F100" s="188">
        <v>-9718376.52</v>
      </c>
      <c r="G100" s="188"/>
      <c r="H100" s="188">
        <v>31679.6</v>
      </c>
      <c r="I100" s="188">
        <v>11537.279999999999</v>
      </c>
      <c r="J100" s="190">
        <v>95527860.79</v>
      </c>
      <c r="K100" s="19"/>
    </row>
    <row r="101" spans="2:11" ht="12">
      <c r="B101" s="193">
        <v>41</v>
      </c>
      <c r="C101" s="194" t="s">
        <v>108</v>
      </c>
      <c r="D101" s="188">
        <v>0</v>
      </c>
      <c r="E101" s="188">
        <v>0</v>
      </c>
      <c r="F101" s="188">
        <v>0</v>
      </c>
      <c r="G101" s="188"/>
      <c r="H101" s="188">
        <v>0</v>
      </c>
      <c r="I101" s="188">
        <v>0</v>
      </c>
      <c r="J101" s="190">
        <v>0</v>
      </c>
      <c r="K101" s="19"/>
    </row>
    <row r="102" spans="2:11" ht="12">
      <c r="B102" s="193">
        <v>42</v>
      </c>
      <c r="C102" s="194" t="s">
        <v>110</v>
      </c>
      <c r="D102" s="188"/>
      <c r="E102" s="188">
        <v>0</v>
      </c>
      <c r="F102" s="188">
        <v>0</v>
      </c>
      <c r="G102" s="188"/>
      <c r="H102" s="188">
        <v>0</v>
      </c>
      <c r="I102" s="188">
        <v>0</v>
      </c>
      <c r="J102" s="190">
        <v>0</v>
      </c>
      <c r="K102" s="19"/>
    </row>
    <row r="103" spans="2:11" ht="12">
      <c r="B103" s="193">
        <v>43</v>
      </c>
      <c r="C103" s="194" t="s">
        <v>112</v>
      </c>
      <c r="D103" s="188"/>
      <c r="E103" s="188">
        <v>0</v>
      </c>
      <c r="F103" s="188">
        <v>0</v>
      </c>
      <c r="G103" s="188"/>
      <c r="H103" s="188">
        <v>0</v>
      </c>
      <c r="I103" s="188">
        <v>0</v>
      </c>
      <c r="J103" s="190">
        <v>0</v>
      </c>
      <c r="K103" s="19"/>
    </row>
    <row r="104" spans="2:11" ht="12">
      <c r="B104" s="193">
        <v>44</v>
      </c>
      <c r="C104" s="194" t="s">
        <v>113</v>
      </c>
      <c r="D104" s="188">
        <v>-50851108</v>
      </c>
      <c r="E104" s="188">
        <v>34949311.13</v>
      </c>
      <c r="F104" s="188">
        <v>-24342556.09</v>
      </c>
      <c r="G104" s="188"/>
      <c r="H104" s="188">
        <v>260193.92</v>
      </c>
      <c r="I104" s="188">
        <v>18920.56</v>
      </c>
      <c r="J104" s="190">
        <v>39965238.480000004</v>
      </c>
      <c r="K104" s="19"/>
    </row>
    <row r="105" spans="2:11" ht="12">
      <c r="B105" s="193">
        <v>45</v>
      </c>
      <c r="C105" s="194" t="s">
        <v>115</v>
      </c>
      <c r="D105" s="188">
        <v>-5826266</v>
      </c>
      <c r="E105" s="188">
        <v>0</v>
      </c>
      <c r="F105" s="188">
        <v>-31942376.18</v>
      </c>
      <c r="G105" s="188"/>
      <c r="H105" s="188">
        <v>0</v>
      </c>
      <c r="I105" s="188">
        <v>0</v>
      </c>
      <c r="J105" s="190">
        <v>37768642.18</v>
      </c>
      <c r="K105" s="19"/>
    </row>
    <row r="106" spans="2:11" ht="12">
      <c r="B106" s="193">
        <v>46</v>
      </c>
      <c r="C106" s="194" t="s">
        <v>386</v>
      </c>
      <c r="D106" s="188">
        <v>0</v>
      </c>
      <c r="E106" s="188">
        <v>0</v>
      </c>
      <c r="F106" s="188">
        <v>0</v>
      </c>
      <c r="G106" s="188"/>
      <c r="H106" s="188">
        <v>0</v>
      </c>
      <c r="I106" s="188">
        <v>0</v>
      </c>
      <c r="J106" s="190">
        <v>0</v>
      </c>
      <c r="K106" s="19"/>
    </row>
    <row r="107" spans="2:11" ht="12">
      <c r="B107" s="193">
        <v>47</v>
      </c>
      <c r="C107" s="194" t="s">
        <v>119</v>
      </c>
      <c r="D107" s="188">
        <v>0</v>
      </c>
      <c r="E107" s="188">
        <v>0</v>
      </c>
      <c r="F107" s="188">
        <v>0</v>
      </c>
      <c r="G107" s="188"/>
      <c r="H107" s="188">
        <v>0</v>
      </c>
      <c r="I107" s="188">
        <v>0</v>
      </c>
      <c r="J107" s="190">
        <v>0</v>
      </c>
      <c r="K107" s="19"/>
    </row>
    <row r="108" spans="2:11" ht="12">
      <c r="B108" s="193">
        <v>48</v>
      </c>
      <c r="C108" s="194" t="s">
        <v>120</v>
      </c>
      <c r="D108" s="188">
        <v>0</v>
      </c>
      <c r="E108" s="188">
        <v>0</v>
      </c>
      <c r="F108" s="188">
        <v>0</v>
      </c>
      <c r="G108" s="188"/>
      <c r="H108" s="188">
        <v>0</v>
      </c>
      <c r="I108" s="188">
        <v>0</v>
      </c>
      <c r="J108" s="190">
        <v>0</v>
      </c>
      <c r="K108" s="19"/>
    </row>
    <row r="109" spans="2:11" ht="12">
      <c r="B109" s="193">
        <v>49</v>
      </c>
      <c r="C109" s="194" t="s">
        <v>122</v>
      </c>
      <c r="D109" s="188">
        <v>0</v>
      </c>
      <c r="E109" s="188">
        <v>0</v>
      </c>
      <c r="F109" s="188">
        <v>0</v>
      </c>
      <c r="G109" s="188"/>
      <c r="H109" s="188">
        <v>0</v>
      </c>
      <c r="I109" s="188">
        <v>0</v>
      </c>
      <c r="J109" s="190">
        <v>0</v>
      </c>
      <c r="K109" s="19"/>
    </row>
    <row r="110" spans="2:11" ht="12">
      <c r="B110" s="193">
        <v>51</v>
      </c>
      <c r="C110" s="194" t="s">
        <v>279</v>
      </c>
      <c r="D110" s="188">
        <v>-793370</v>
      </c>
      <c r="E110" s="188">
        <v>6476479.25</v>
      </c>
      <c r="F110" s="188">
        <v>-8212585.46</v>
      </c>
      <c r="G110" s="188"/>
      <c r="H110" s="188">
        <v>1263639.66</v>
      </c>
      <c r="I110" s="188">
        <v>-1.0913936421275139E-11</v>
      </c>
      <c r="J110" s="190">
        <v>1265836.5499999998</v>
      </c>
      <c r="K110" s="19"/>
    </row>
    <row r="111" spans="2:11" ht="12">
      <c r="B111" s="193">
        <v>52</v>
      </c>
      <c r="C111" s="194" t="s">
        <v>280</v>
      </c>
      <c r="D111" s="188">
        <v>-19226600</v>
      </c>
      <c r="E111" s="188">
        <f>88727.39-0.419998645782471</f>
        <v>88726.97000135422</v>
      </c>
      <c r="F111" s="188">
        <v>18982149.6</v>
      </c>
      <c r="G111" s="188"/>
      <c r="H111" s="188">
        <v>117629.8</v>
      </c>
      <c r="I111" s="188">
        <v>4011.28</v>
      </c>
      <c r="J111" s="190">
        <v>34081.92</v>
      </c>
      <c r="K111" s="19"/>
    </row>
    <row r="112" spans="2:11" ht="12">
      <c r="B112" s="193">
        <v>53</v>
      </c>
      <c r="C112" s="194" t="s">
        <v>281</v>
      </c>
      <c r="D112" s="188">
        <v>0</v>
      </c>
      <c r="E112" s="188">
        <v>0</v>
      </c>
      <c r="F112" s="188">
        <v>-4543.72</v>
      </c>
      <c r="G112" s="188"/>
      <c r="H112" s="188">
        <v>0</v>
      </c>
      <c r="I112" s="188">
        <v>0</v>
      </c>
      <c r="J112" s="190">
        <v>4543.72</v>
      </c>
      <c r="K112" s="19"/>
    </row>
    <row r="113" spans="2:11" ht="12">
      <c r="B113" s="193">
        <v>54</v>
      </c>
      <c r="C113" s="194" t="s">
        <v>282</v>
      </c>
      <c r="D113" s="188">
        <v>-280000</v>
      </c>
      <c r="E113" s="188">
        <v>0</v>
      </c>
      <c r="F113" s="188">
        <v>280000</v>
      </c>
      <c r="G113" s="188"/>
      <c r="H113" s="188">
        <v>0</v>
      </c>
      <c r="I113" s="188">
        <v>0</v>
      </c>
      <c r="J113" s="190">
        <v>0</v>
      </c>
      <c r="K113" s="19"/>
    </row>
    <row r="114" spans="2:11" ht="12">
      <c r="B114" s="193">
        <v>55</v>
      </c>
      <c r="C114" s="194" t="s">
        <v>283</v>
      </c>
      <c r="D114" s="188">
        <v>0</v>
      </c>
      <c r="E114" s="188">
        <v>0</v>
      </c>
      <c r="F114" s="188">
        <v>0</v>
      </c>
      <c r="G114" s="188"/>
      <c r="H114" s="188">
        <v>0</v>
      </c>
      <c r="I114" s="188">
        <v>0</v>
      </c>
      <c r="J114" s="190">
        <v>0</v>
      </c>
      <c r="K114" s="19"/>
    </row>
    <row r="115" spans="2:11" ht="12">
      <c r="B115" s="193">
        <v>56</v>
      </c>
      <c r="C115" s="194" t="s">
        <v>387</v>
      </c>
      <c r="D115" s="188">
        <v>-2849860</v>
      </c>
      <c r="E115" s="188">
        <v>48731</v>
      </c>
      <c r="F115" s="188">
        <v>2487870</v>
      </c>
      <c r="G115" s="188"/>
      <c r="H115" s="188">
        <v>149976.40000000002</v>
      </c>
      <c r="I115" s="188">
        <v>127782.6</v>
      </c>
      <c r="J115" s="190">
        <v>35500</v>
      </c>
      <c r="K115" s="19"/>
    </row>
    <row r="116" spans="2:11" ht="12">
      <c r="B116" s="193">
        <v>57</v>
      </c>
      <c r="C116" s="194" t="s">
        <v>285</v>
      </c>
      <c r="D116" s="188">
        <v>0</v>
      </c>
      <c r="E116" s="188">
        <v>0</v>
      </c>
      <c r="F116" s="188">
        <v>-3498.56</v>
      </c>
      <c r="G116" s="188"/>
      <c r="H116" s="188">
        <v>0</v>
      </c>
      <c r="I116" s="188">
        <v>0</v>
      </c>
      <c r="J116" s="190">
        <v>3498.56</v>
      </c>
      <c r="K116" s="19"/>
    </row>
    <row r="117" spans="2:11" ht="12">
      <c r="B117" s="193">
        <v>58</v>
      </c>
      <c r="C117" s="194" t="s">
        <v>286</v>
      </c>
      <c r="D117" s="188">
        <v>0</v>
      </c>
      <c r="E117" s="188">
        <v>0</v>
      </c>
      <c r="F117" s="188">
        <v>0</v>
      </c>
      <c r="G117" s="188"/>
      <c r="H117" s="188">
        <v>0</v>
      </c>
      <c r="I117" s="188">
        <v>0</v>
      </c>
      <c r="J117" s="190">
        <v>0</v>
      </c>
      <c r="K117" s="19"/>
    </row>
    <row r="118" spans="2:11" ht="12">
      <c r="B118" s="193">
        <v>59</v>
      </c>
      <c r="C118" s="194" t="s">
        <v>185</v>
      </c>
      <c r="D118" s="188">
        <v>-7450000</v>
      </c>
      <c r="E118" s="188">
        <v>0</v>
      </c>
      <c r="F118" s="188">
        <v>1222312</v>
      </c>
      <c r="G118" s="188"/>
      <c r="H118" s="188">
        <v>2850000</v>
      </c>
      <c r="I118" s="188">
        <v>264480</v>
      </c>
      <c r="J118" s="190">
        <v>3113208</v>
      </c>
      <c r="K118" s="19"/>
    </row>
    <row r="119" spans="2:11" ht="12">
      <c r="B119" s="193">
        <v>61</v>
      </c>
      <c r="C119" s="194" t="s">
        <v>287</v>
      </c>
      <c r="D119" s="188"/>
      <c r="E119" s="188"/>
      <c r="F119" s="188"/>
      <c r="G119" s="188"/>
      <c r="H119" s="188"/>
      <c r="I119" s="188"/>
      <c r="J119" s="190"/>
      <c r="K119" s="19"/>
    </row>
    <row r="120" spans="2:11" ht="12">
      <c r="B120" s="193">
        <v>62</v>
      </c>
      <c r="C120" s="194" t="s">
        <v>288</v>
      </c>
      <c r="D120" s="188"/>
      <c r="E120" s="188"/>
      <c r="F120" s="188"/>
      <c r="G120" s="188"/>
      <c r="H120" s="188"/>
      <c r="I120" s="188"/>
      <c r="J120" s="190"/>
      <c r="K120" s="19"/>
    </row>
    <row r="121" spans="2:11" ht="12">
      <c r="B121" s="193">
        <v>63</v>
      </c>
      <c r="C121" s="194" t="s">
        <v>289</v>
      </c>
      <c r="D121" s="188"/>
      <c r="E121" s="188"/>
      <c r="F121" s="188"/>
      <c r="G121" s="188"/>
      <c r="H121" s="188"/>
      <c r="I121" s="188"/>
      <c r="J121" s="190"/>
      <c r="K121" s="19"/>
    </row>
    <row r="122" spans="2:11" ht="12">
      <c r="B122" s="193">
        <v>71</v>
      </c>
      <c r="C122" s="194" t="s">
        <v>388</v>
      </c>
      <c r="D122" s="188"/>
      <c r="E122" s="188"/>
      <c r="F122" s="188"/>
      <c r="G122" s="188"/>
      <c r="H122" s="188"/>
      <c r="I122" s="188"/>
      <c r="J122" s="190"/>
      <c r="K122" s="19"/>
    </row>
    <row r="123" spans="2:11" ht="12">
      <c r="B123" s="193">
        <v>72</v>
      </c>
      <c r="C123" s="194" t="s">
        <v>292</v>
      </c>
      <c r="D123" s="188"/>
      <c r="E123" s="188"/>
      <c r="F123" s="188"/>
      <c r="G123" s="188"/>
      <c r="H123" s="188"/>
      <c r="I123" s="188"/>
      <c r="J123" s="190"/>
      <c r="K123" s="19"/>
    </row>
    <row r="124" spans="2:11" ht="12">
      <c r="B124" s="193">
        <v>73</v>
      </c>
      <c r="C124" s="194" t="s">
        <v>293</v>
      </c>
      <c r="D124" s="188"/>
      <c r="E124" s="188"/>
      <c r="F124" s="188"/>
      <c r="G124" s="188"/>
      <c r="H124" s="188"/>
      <c r="I124" s="188"/>
      <c r="J124" s="190"/>
      <c r="K124" s="19"/>
    </row>
    <row r="125" spans="2:11" ht="12">
      <c r="B125" s="193">
        <v>74</v>
      </c>
      <c r="C125" s="194" t="s">
        <v>294</v>
      </c>
      <c r="D125" s="188"/>
      <c r="E125" s="188"/>
      <c r="F125" s="188"/>
      <c r="G125" s="188"/>
      <c r="H125" s="188"/>
      <c r="I125" s="188"/>
      <c r="J125" s="190"/>
      <c r="K125" s="19"/>
    </row>
    <row r="126" spans="2:11" ht="12">
      <c r="B126" s="193">
        <v>75</v>
      </c>
      <c r="C126" s="194" t="s">
        <v>389</v>
      </c>
      <c r="D126" s="188"/>
      <c r="E126" s="188"/>
      <c r="F126" s="188"/>
      <c r="G126" s="188"/>
      <c r="H126" s="188"/>
      <c r="I126" s="188"/>
      <c r="J126" s="190"/>
      <c r="K126" s="19"/>
    </row>
    <row r="127" spans="2:11" ht="12">
      <c r="B127" s="193">
        <v>76</v>
      </c>
      <c r="C127" s="194" t="s">
        <v>296</v>
      </c>
      <c r="D127" s="188"/>
      <c r="E127" s="188"/>
      <c r="F127" s="188"/>
      <c r="G127" s="188"/>
      <c r="H127" s="188"/>
      <c r="I127" s="188"/>
      <c r="J127" s="190"/>
      <c r="K127" s="19"/>
    </row>
    <row r="128" spans="2:11" ht="12">
      <c r="B128" s="193">
        <v>79</v>
      </c>
      <c r="C128" s="194" t="s">
        <v>390</v>
      </c>
      <c r="D128" s="188"/>
      <c r="E128" s="188"/>
      <c r="F128" s="188"/>
      <c r="G128" s="188"/>
      <c r="H128" s="188"/>
      <c r="I128" s="188"/>
      <c r="J128" s="190"/>
      <c r="K128" s="19"/>
    </row>
    <row r="129" spans="2:11" ht="12">
      <c r="B129" s="193">
        <v>81</v>
      </c>
      <c r="C129" s="194" t="s">
        <v>126</v>
      </c>
      <c r="D129" s="188"/>
      <c r="E129" s="188"/>
      <c r="F129" s="188"/>
      <c r="G129" s="188"/>
      <c r="H129" s="188"/>
      <c r="I129" s="188"/>
      <c r="J129" s="190"/>
      <c r="K129" s="19"/>
    </row>
    <row r="130" spans="2:11" ht="12">
      <c r="B130" s="193">
        <v>83</v>
      </c>
      <c r="C130" s="194" t="s">
        <v>128</v>
      </c>
      <c r="D130" s="188"/>
      <c r="E130" s="188"/>
      <c r="F130" s="188"/>
      <c r="G130" s="188"/>
      <c r="H130" s="188"/>
      <c r="I130" s="188"/>
      <c r="J130" s="190"/>
      <c r="K130" s="19"/>
    </row>
    <row r="131" spans="2:11" ht="12">
      <c r="B131" s="193">
        <v>85</v>
      </c>
      <c r="C131" s="194" t="s">
        <v>130</v>
      </c>
      <c r="D131" s="188"/>
      <c r="E131" s="188"/>
      <c r="F131" s="188"/>
      <c r="G131" s="188"/>
      <c r="H131" s="188"/>
      <c r="I131" s="188"/>
      <c r="J131" s="190"/>
      <c r="K131" s="19"/>
    </row>
    <row r="132" spans="2:11" ht="12">
      <c r="B132" s="193">
        <v>91</v>
      </c>
      <c r="C132" s="194" t="s">
        <v>299</v>
      </c>
      <c r="D132" s="188"/>
      <c r="E132" s="188"/>
      <c r="F132" s="188"/>
      <c r="G132" s="188"/>
      <c r="H132" s="188"/>
      <c r="I132" s="188"/>
      <c r="J132" s="190"/>
      <c r="K132" s="19"/>
    </row>
    <row r="133" spans="2:11" ht="12">
      <c r="B133" s="193">
        <v>92</v>
      </c>
      <c r="C133" s="194" t="s">
        <v>133</v>
      </c>
      <c r="D133" s="188"/>
      <c r="E133" s="188"/>
      <c r="F133" s="188"/>
      <c r="G133" s="188"/>
      <c r="H133" s="188"/>
      <c r="I133" s="188"/>
      <c r="J133" s="190"/>
      <c r="K133" s="19"/>
    </row>
    <row r="134" spans="2:11" ht="12">
      <c r="B134" s="193">
        <v>93</v>
      </c>
      <c r="C134" s="194" t="s">
        <v>134</v>
      </c>
      <c r="D134" s="188"/>
      <c r="E134" s="188"/>
      <c r="F134" s="188"/>
      <c r="G134" s="188"/>
      <c r="H134" s="188"/>
      <c r="I134" s="188"/>
      <c r="J134" s="190"/>
      <c r="K134" s="19"/>
    </row>
    <row r="135" spans="2:11" ht="12">
      <c r="B135" s="193">
        <v>94</v>
      </c>
      <c r="C135" s="194" t="s">
        <v>135</v>
      </c>
      <c r="D135" s="188"/>
      <c r="E135" s="188"/>
      <c r="F135" s="188"/>
      <c r="G135" s="188"/>
      <c r="H135" s="188"/>
      <c r="I135" s="188"/>
      <c r="J135" s="190"/>
      <c r="K135" s="19"/>
    </row>
    <row r="136" spans="2:11" ht="12">
      <c r="B136" s="193">
        <v>95</v>
      </c>
      <c r="C136" s="194" t="s">
        <v>136</v>
      </c>
      <c r="D136" s="188"/>
      <c r="E136" s="188"/>
      <c r="F136" s="188"/>
      <c r="G136" s="188"/>
      <c r="H136" s="188"/>
      <c r="I136" s="188"/>
      <c r="J136" s="190"/>
      <c r="K136" s="19"/>
    </row>
    <row r="137" spans="2:11" ht="12">
      <c r="B137" s="193">
        <v>96</v>
      </c>
      <c r="C137" s="194" t="s">
        <v>137</v>
      </c>
      <c r="D137" s="188"/>
      <c r="E137" s="188"/>
      <c r="F137" s="188"/>
      <c r="G137" s="188"/>
      <c r="H137" s="188"/>
      <c r="I137" s="188"/>
      <c r="J137" s="190"/>
      <c r="K137" s="19"/>
    </row>
    <row r="138" spans="2:11" ht="12">
      <c r="B138" s="195">
        <v>99</v>
      </c>
      <c r="C138" s="17" t="s">
        <v>391</v>
      </c>
      <c r="D138" s="191"/>
      <c r="E138" s="191">
        <v>377678.89</v>
      </c>
      <c r="F138" s="191">
        <v>-17783604.64</v>
      </c>
      <c r="G138" s="191"/>
      <c r="H138" s="191">
        <v>0</v>
      </c>
      <c r="I138" s="191">
        <v>3375250.720000001</v>
      </c>
      <c r="J138" s="192">
        <v>14030675.03</v>
      </c>
      <c r="K138" s="19"/>
    </row>
    <row r="139" spans="4:11" ht="12">
      <c r="D139" s="10">
        <f aca="true" t="shared" si="0" ref="D139:J139">SUM(D12:D138)</f>
        <v>-7002457993</v>
      </c>
      <c r="E139" s="10">
        <f t="shared" si="0"/>
        <v>3316262890.3399997</v>
      </c>
      <c r="F139" s="10">
        <f t="shared" si="0"/>
        <v>-156967661.2</v>
      </c>
      <c r="G139" s="10">
        <f t="shared" si="0"/>
        <v>0</v>
      </c>
      <c r="H139" s="10">
        <f t="shared" si="0"/>
        <v>10058981.33</v>
      </c>
      <c r="I139" s="10">
        <f t="shared" si="0"/>
        <v>3122241478.77</v>
      </c>
      <c r="J139" s="10">
        <f t="shared" si="0"/>
        <v>710862303.7599999</v>
      </c>
      <c r="K139" s="19"/>
    </row>
    <row r="141" ht="12">
      <c r="D141" s="11" t="str">
        <f>IF(SUM(D139:J139)=0," ","ERROR EN LA SUMATORIA DE LOS SALDOS, LA SUMA DE TODAS LAS COLUMNAS DEBE SER CERO, HAY UN DESCUADRE POR: "&amp;SUM(D139:J139))</f>
        <v> </v>
      </c>
    </row>
  </sheetData>
  <sheetProtection sheet="1" objects="1" scenarios="1" selectLockedCells="1"/>
  <mergeCells count="7">
    <mergeCell ref="C2:I2"/>
    <mergeCell ref="B9:C9"/>
    <mergeCell ref="D9:J9"/>
    <mergeCell ref="C7:J7"/>
    <mergeCell ref="C3:I3"/>
    <mergeCell ref="C4:I4"/>
    <mergeCell ref="C5:I5"/>
  </mergeCells>
  <printOptions/>
  <pageMargins left="0.7086614173228347" right="0.7086614173228347" top="0.7480314960629921" bottom="0.7480314960629921" header="0.31496062992125984" footer="0.31496062992125984"/>
  <pageSetup fitToHeight="15" horizontalDpi="600" verticalDpi="600" orientation="portrait" scale="41" r:id="rId1"/>
  <headerFooter>
    <oddFooter>&amp;L&amp;NBorrador&amp;C&amp;A&amp;NPágina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8"/>
  <sheetViews>
    <sheetView showGridLines="0" view="pageBreakPreview" zoomScale="96" zoomScaleNormal="90" zoomScaleSheetLayoutView="96" zoomScalePageLayoutView="0" workbookViewId="0" topLeftCell="A1">
      <selection activeCell="B2" sqref="B2:I2"/>
    </sheetView>
  </sheetViews>
  <sheetFormatPr defaultColWidth="11.421875" defaultRowHeight="15"/>
  <cols>
    <col min="1" max="1" width="2.421875" style="21" customWidth="1"/>
    <col min="2" max="2" width="4.7109375" style="3" customWidth="1"/>
    <col min="3" max="3" width="53.421875" style="3" customWidth="1"/>
    <col min="4" max="4" width="15.7109375" style="3" customWidth="1"/>
    <col min="5" max="5" width="16.28125" style="3" customWidth="1"/>
    <col min="6" max="6" width="16.7109375" style="3" customWidth="1"/>
    <col min="7" max="8" width="16.00390625" style="3" customWidth="1"/>
    <col min="9" max="9" width="15.28125" style="3" customWidth="1"/>
    <col min="10" max="10" width="3.7109375" style="21" customWidth="1"/>
    <col min="11" max="16384" width="11.421875" style="3" customWidth="1"/>
  </cols>
  <sheetData>
    <row r="2" spans="2:9" ht="12" customHeight="1">
      <c r="B2" s="677"/>
      <c r="C2" s="677"/>
      <c r="D2" s="677"/>
      <c r="E2" s="677"/>
      <c r="F2" s="677"/>
      <c r="G2" s="677"/>
      <c r="H2" s="677"/>
      <c r="I2" s="677"/>
    </row>
    <row r="3" spans="2:9" ht="12" customHeight="1">
      <c r="B3" s="680" t="s">
        <v>252</v>
      </c>
      <c r="C3" s="680"/>
      <c r="D3" s="680"/>
      <c r="E3" s="680"/>
      <c r="F3" s="680"/>
      <c r="G3" s="680"/>
      <c r="H3" s="680"/>
      <c r="I3" s="680"/>
    </row>
    <row r="4" spans="2:9" ht="12" customHeight="1">
      <c r="B4" s="680" t="str">
        <f>"Del 1 de enero al "&amp;TEXT(INDEX(Periodos,ENTE!D18,1),"dd")&amp;" de "&amp;TEXT(INDEX(Periodos,ENTE!D18,1),"mmmm")&amp;" de "&amp;TEXT(INDEX(Periodos,ENTE!D18,1),"aaaa")&amp;""</f>
        <v>Del 1 de enero al 30 de septiembre de 2017</v>
      </c>
      <c r="C4" s="680"/>
      <c r="D4" s="680"/>
      <c r="E4" s="680"/>
      <c r="F4" s="680"/>
      <c r="G4" s="680"/>
      <c r="H4" s="680"/>
      <c r="I4" s="680"/>
    </row>
    <row r="5" spans="2:9" ht="12" customHeight="1">
      <c r="B5" s="680" t="s">
        <v>92</v>
      </c>
      <c r="C5" s="680"/>
      <c r="D5" s="680"/>
      <c r="E5" s="680"/>
      <c r="F5" s="680"/>
      <c r="G5" s="680"/>
      <c r="H5" s="680"/>
      <c r="I5" s="680"/>
    </row>
    <row r="6" spans="2:9" s="21" customFormat="1" ht="12" customHeight="1">
      <c r="B6" s="680"/>
      <c r="C6" s="680"/>
      <c r="D6" s="680"/>
      <c r="E6" s="680"/>
      <c r="F6" s="680"/>
      <c r="G6" s="680"/>
      <c r="H6" s="680"/>
      <c r="I6" s="680"/>
    </row>
    <row r="7" spans="2:9" s="21" customFormat="1" ht="12" customHeight="1">
      <c r="B7" s="178" t="s">
        <v>4</v>
      </c>
      <c r="C7" s="679" t="str">
        <f>ENTE!D8</f>
        <v>UNIDAD DE SERVICIOS PARA LA EDUCACION BASICA EN EL ESTADO DE QUERETARO</v>
      </c>
      <c r="D7" s="679"/>
      <c r="E7" s="679"/>
      <c r="F7" s="679"/>
      <c r="G7" s="679"/>
      <c r="H7" s="679"/>
      <c r="I7" s="679"/>
    </row>
    <row r="8" s="21" customFormat="1" ht="12" customHeight="1"/>
    <row r="9" spans="2:9" ht="12">
      <c r="B9" s="735" t="s">
        <v>93</v>
      </c>
      <c r="C9" s="735"/>
      <c r="D9" s="729" t="s">
        <v>493</v>
      </c>
      <c r="E9" s="729"/>
      <c r="F9" s="729"/>
      <c r="G9" s="729"/>
      <c r="H9" s="729"/>
      <c r="I9" s="729" t="s">
        <v>636</v>
      </c>
    </row>
    <row r="10" spans="2:9" ht="24">
      <c r="B10" s="735"/>
      <c r="C10" s="735"/>
      <c r="D10" s="344" t="s">
        <v>243</v>
      </c>
      <c r="E10" s="344" t="s">
        <v>244</v>
      </c>
      <c r="F10" s="344" t="s">
        <v>220</v>
      </c>
      <c r="G10" s="344" t="s">
        <v>221</v>
      </c>
      <c r="H10" s="344" t="s">
        <v>245</v>
      </c>
      <c r="I10" s="729"/>
    </row>
    <row r="11" spans="2:9" ht="11.25" customHeight="1">
      <c r="B11" s="735"/>
      <c r="C11" s="735"/>
      <c r="D11" s="344">
        <v>1</v>
      </c>
      <c r="E11" s="344">
        <v>2</v>
      </c>
      <c r="F11" s="344" t="s">
        <v>246</v>
      </c>
      <c r="G11" s="344">
        <v>4</v>
      </c>
      <c r="H11" s="344">
        <v>5</v>
      </c>
      <c r="I11" s="344" t="s">
        <v>247</v>
      </c>
    </row>
    <row r="12" spans="2:9" ht="12">
      <c r="B12" s="733" t="s">
        <v>213</v>
      </c>
      <c r="C12" s="734"/>
      <c r="D12" s="360">
        <f>SUM(D13:D19)</f>
        <v>6559454396</v>
      </c>
      <c r="E12" s="360">
        <f>SUM(E13:E19)</f>
        <v>-85936258.85000002</v>
      </c>
      <c r="F12" s="360">
        <f aca="true" t="shared" si="0" ref="F12:F43">+D12+E12</f>
        <v>6473518137.15</v>
      </c>
      <c r="G12" s="360">
        <f>SUM(G13:G19)</f>
        <v>3367807781.6799994</v>
      </c>
      <c r="H12" s="360">
        <f>SUM(H13:H19)</f>
        <v>256444269.27000004</v>
      </c>
      <c r="I12" s="360">
        <f aca="true" t="shared" si="1" ref="I12:I43">+F12-G12</f>
        <v>3105710355.4700003</v>
      </c>
    </row>
    <row r="13" spans="2:9" ht="12">
      <c r="B13" s="145"/>
      <c r="C13" s="146" t="s">
        <v>253</v>
      </c>
      <c r="D13" s="105">
        <f>-SCOG!D12+-SCOG!D76</f>
        <v>2620765754</v>
      </c>
      <c r="E13" s="105">
        <f>-SCOG!F12+-SCOG!F76</f>
        <v>329970846.07</v>
      </c>
      <c r="F13" s="105">
        <f t="shared" si="0"/>
        <v>2950736600.07</v>
      </c>
      <c r="G13" s="105">
        <f>SCOG!H12+SCOG!H76+SCOG!I12+SCOG!I76+SCOG!J12+SCOG!J76</f>
        <v>1654665244.1399992</v>
      </c>
      <c r="H13" s="105">
        <f>SCOG!J12+SCOG!J76</f>
        <v>91358957.78</v>
      </c>
      <c r="I13" s="105">
        <f t="shared" si="1"/>
        <v>1296071355.930001</v>
      </c>
    </row>
    <row r="14" spans="2:9" ht="12">
      <c r="B14" s="145"/>
      <c r="C14" s="146" t="s">
        <v>254</v>
      </c>
      <c r="D14" s="105">
        <f>-SCOG!D13+-SCOG!D77</f>
        <v>29453273</v>
      </c>
      <c r="E14" s="105">
        <f>-SCOG!F13+-SCOG!F77</f>
        <v>1463855.59</v>
      </c>
      <c r="F14" s="105">
        <f t="shared" si="0"/>
        <v>30917128.59</v>
      </c>
      <c r="G14" s="105">
        <f>SCOG!H13+SCOG!H77+SCOG!I13+SCOG!I77+SCOG!J13+SCOG!J77</f>
        <v>20689940.98</v>
      </c>
      <c r="H14" s="105">
        <f>SCOG!J13+SCOG!J77</f>
        <v>12339660.200000001</v>
      </c>
      <c r="I14" s="105">
        <f t="shared" si="1"/>
        <v>10227187.61</v>
      </c>
    </row>
    <row r="15" spans="2:9" ht="12">
      <c r="B15" s="145"/>
      <c r="C15" s="146" t="s">
        <v>255</v>
      </c>
      <c r="D15" s="105">
        <f>-SCOG!D14+-SCOG!D78</f>
        <v>1195648038</v>
      </c>
      <c r="E15" s="105">
        <f>-SCOG!F14+-SCOG!F78</f>
        <v>-143035781.98</v>
      </c>
      <c r="F15" s="105">
        <f t="shared" si="0"/>
        <v>1052612256.02</v>
      </c>
      <c r="G15" s="105">
        <f>SCOG!H14+SCOG!H78+SCOG!I14+SCOG!I78+SCOG!J14+SCOG!J78</f>
        <v>362701726.64</v>
      </c>
      <c r="H15" s="105">
        <f>SCOG!J14+SCOG!J78</f>
        <v>67252779.81</v>
      </c>
      <c r="I15" s="105">
        <f t="shared" si="1"/>
        <v>689910529.38</v>
      </c>
    </row>
    <row r="16" spans="2:9" ht="12">
      <c r="B16" s="145"/>
      <c r="C16" s="146" t="s">
        <v>256</v>
      </c>
      <c r="D16" s="105">
        <f>-SCOG!D15+-SCOG!D79</f>
        <v>521993330</v>
      </c>
      <c r="E16" s="105">
        <f>-SCOG!F15+-SCOG!F79</f>
        <v>-59122821.44</v>
      </c>
      <c r="F16" s="105">
        <f t="shared" si="0"/>
        <v>462870508.56</v>
      </c>
      <c r="G16" s="105">
        <f>SCOG!H15+SCOG!H79+SCOG!I15+SCOG!I79+SCOG!J15+SCOG!J79</f>
        <v>307246691.53000003</v>
      </c>
      <c r="H16" s="105">
        <f>SCOG!J15+SCOG!J79</f>
        <v>20204813.040000007</v>
      </c>
      <c r="I16" s="105">
        <f t="shared" si="1"/>
        <v>155623817.02999997</v>
      </c>
    </row>
    <row r="17" spans="2:9" ht="12">
      <c r="B17" s="145"/>
      <c r="C17" s="146" t="s">
        <v>257</v>
      </c>
      <c r="D17" s="105">
        <f>-SCOG!D16+-SCOG!D80</f>
        <v>697406013</v>
      </c>
      <c r="E17" s="105">
        <f>-SCOG!F16+-SCOG!F80</f>
        <v>-12324445.6</v>
      </c>
      <c r="F17" s="105">
        <f t="shared" si="0"/>
        <v>685081567.4</v>
      </c>
      <c r="G17" s="105">
        <f>SCOG!H16+SCOG!H80+SCOG!I16+SCOG!I80+SCOG!J16+SCOG!J80</f>
        <v>287948037.8399999</v>
      </c>
      <c r="H17" s="105">
        <f>SCOG!J16+SCOG!J80</f>
        <v>20069730.380000003</v>
      </c>
      <c r="I17" s="105">
        <f t="shared" si="1"/>
        <v>397133529.56000006</v>
      </c>
    </row>
    <row r="18" spans="2:9" ht="12">
      <c r="B18" s="145"/>
      <c r="C18" s="146" t="s">
        <v>258</v>
      </c>
      <c r="D18" s="105">
        <f>-SCOG!D17+-SCOG!D81</f>
        <v>0</v>
      </c>
      <c r="E18" s="105">
        <f>-SCOG!F17+-SCOG!F81</f>
        <v>0</v>
      </c>
      <c r="F18" s="105">
        <f t="shared" si="0"/>
        <v>0</v>
      </c>
      <c r="G18" s="105">
        <f>SCOG!H17+SCOG!H81+SCOG!I17+SCOG!I81+SCOG!J17+SCOG!J81</f>
        <v>0</v>
      </c>
      <c r="H18" s="105">
        <f>SCOG!J17+SCOG!J81</f>
        <v>0</v>
      </c>
      <c r="I18" s="105">
        <f t="shared" si="1"/>
        <v>0</v>
      </c>
    </row>
    <row r="19" spans="2:9" ht="12">
      <c r="B19" s="145"/>
      <c r="C19" s="146" t="s">
        <v>259</v>
      </c>
      <c r="D19" s="105">
        <f>-SCOG!D18+-SCOG!D82</f>
        <v>1494187988</v>
      </c>
      <c r="E19" s="105">
        <f>-SCOG!F18+-SCOG!F82</f>
        <v>-202887911.49</v>
      </c>
      <c r="F19" s="105">
        <f t="shared" si="0"/>
        <v>1291300076.51</v>
      </c>
      <c r="G19" s="105">
        <f>SCOG!H18+SCOG!H82+SCOG!I18+SCOG!I82+SCOG!J18+SCOG!J82</f>
        <v>734556140.5500002</v>
      </c>
      <c r="H19" s="105">
        <f>SCOG!J18+SCOG!J82</f>
        <v>45218328.06</v>
      </c>
      <c r="I19" s="105">
        <f t="shared" si="1"/>
        <v>556743935.9599998</v>
      </c>
    </row>
    <row r="20" spans="2:9" ht="12">
      <c r="B20" s="733" t="s">
        <v>101</v>
      </c>
      <c r="C20" s="734"/>
      <c r="D20" s="360">
        <f>SUM(D21:D29)</f>
        <v>80249087</v>
      </c>
      <c r="E20" s="360">
        <f>SUM(E21:E29)</f>
        <v>88660154.64</v>
      </c>
      <c r="F20" s="360">
        <f t="shared" si="0"/>
        <v>168909241.64</v>
      </c>
      <c r="G20" s="360">
        <f>SUM(G21:G29)</f>
        <v>136665773.46</v>
      </c>
      <c r="H20" s="360">
        <f>SUM(H21:H29)</f>
        <v>134089456.27</v>
      </c>
      <c r="I20" s="360">
        <f t="shared" si="1"/>
        <v>32243468.179999977</v>
      </c>
    </row>
    <row r="21" spans="2:9" ht="24">
      <c r="B21" s="145"/>
      <c r="C21" s="146" t="s">
        <v>260</v>
      </c>
      <c r="D21" s="105">
        <f>-SCOG!D19+-SCOG!D83</f>
        <v>19105999</v>
      </c>
      <c r="E21" s="105">
        <f>-SCOG!F19+-SCOG!F83</f>
        <v>86352457.5</v>
      </c>
      <c r="F21" s="105">
        <f t="shared" si="0"/>
        <v>105458456.5</v>
      </c>
      <c r="G21" s="105">
        <f>SCOG!H19+SCOG!H83+SCOG!I19+SCOG!I83+SCOG!J19+SCOG!J83</f>
        <v>101238474.07000001</v>
      </c>
      <c r="H21" s="105">
        <f>SCOG!J19+SCOG!J83</f>
        <v>99330020.78</v>
      </c>
      <c r="I21" s="105">
        <f t="shared" si="1"/>
        <v>4219982.429999992</v>
      </c>
    </row>
    <row r="22" spans="2:9" ht="12">
      <c r="B22" s="145"/>
      <c r="C22" s="146" t="s">
        <v>261</v>
      </c>
      <c r="D22" s="105">
        <f>-SCOG!D20+-SCOG!D84</f>
        <v>46614401</v>
      </c>
      <c r="E22" s="105">
        <f>-SCOG!F20+-SCOG!F84</f>
        <v>-18243492.98</v>
      </c>
      <c r="F22" s="105">
        <f t="shared" si="0"/>
        <v>28370908.02</v>
      </c>
      <c r="G22" s="105">
        <f>SCOG!H20+SCOG!H84+SCOG!I20+SCOG!I84+SCOG!J20+SCOG!J84</f>
        <v>4505716.3</v>
      </c>
      <c r="H22" s="105">
        <f>SCOG!J20+SCOG!J84</f>
        <v>4340429.5</v>
      </c>
      <c r="I22" s="105">
        <f t="shared" si="1"/>
        <v>23865191.72</v>
      </c>
    </row>
    <row r="23" spans="2:9" ht="12">
      <c r="B23" s="145"/>
      <c r="C23" s="146" t="s">
        <v>262</v>
      </c>
      <c r="D23" s="105">
        <f>-SCOG!D21+-SCOG!D85</f>
        <v>0</v>
      </c>
      <c r="E23" s="105">
        <f>-SCOG!F21+-SCOG!F85</f>
        <v>2147</v>
      </c>
      <c r="F23" s="105">
        <f t="shared" si="0"/>
        <v>2147</v>
      </c>
      <c r="G23" s="105">
        <f>SCOG!H21+SCOG!H85+SCOG!I21+SCOG!I85+SCOG!J21+SCOG!J85</f>
        <v>2146.8</v>
      </c>
      <c r="H23" s="105">
        <f>SCOG!J21+SCOG!J85</f>
        <v>2146.8</v>
      </c>
      <c r="I23" s="105">
        <f t="shared" si="1"/>
        <v>0.1999999999998181</v>
      </c>
    </row>
    <row r="24" spans="2:9" ht="12">
      <c r="B24" s="145"/>
      <c r="C24" s="146" t="s">
        <v>263</v>
      </c>
      <c r="D24" s="105">
        <f>-SCOG!D22+-SCOG!D86</f>
        <v>3794142</v>
      </c>
      <c r="E24" s="105">
        <f>-SCOG!F22+-SCOG!F86</f>
        <v>1158369.48</v>
      </c>
      <c r="F24" s="105">
        <f t="shared" si="0"/>
        <v>4952511.48</v>
      </c>
      <c r="G24" s="105">
        <f>SCOG!H22+SCOG!H86+SCOG!I22+SCOG!I86+SCOG!J22+SCOG!J86</f>
        <v>2713548.7399999998</v>
      </c>
      <c r="H24" s="105">
        <f>SCOG!J22+SCOG!J86</f>
        <v>2701058.9999999995</v>
      </c>
      <c r="I24" s="105">
        <f t="shared" si="1"/>
        <v>2238962.7400000007</v>
      </c>
    </row>
    <row r="25" spans="2:9" ht="12">
      <c r="B25" s="145"/>
      <c r="C25" s="146" t="s">
        <v>264</v>
      </c>
      <c r="D25" s="105">
        <f>-SCOG!D23+-SCOG!D87</f>
        <v>186587</v>
      </c>
      <c r="E25" s="105">
        <f>-SCOG!F23+-SCOG!F87</f>
        <v>-33486.54</v>
      </c>
      <c r="F25" s="105">
        <f t="shared" si="0"/>
        <v>153100.46</v>
      </c>
      <c r="G25" s="105">
        <f>SCOG!H23+SCOG!H87+SCOG!I23+SCOG!I87+SCOG!J23+SCOG!J87</f>
        <v>136948.62</v>
      </c>
      <c r="H25" s="105">
        <f>SCOG!J23+SCOG!J87</f>
        <v>127305.66</v>
      </c>
      <c r="I25" s="105">
        <f t="shared" si="1"/>
        <v>16151.839999999997</v>
      </c>
    </row>
    <row r="26" spans="2:9" ht="12">
      <c r="B26" s="145"/>
      <c r="C26" s="146" t="s">
        <v>265</v>
      </c>
      <c r="D26" s="105">
        <f>-SCOG!D24+-SCOG!D88</f>
        <v>5934626</v>
      </c>
      <c r="E26" s="105">
        <f>-SCOG!F24+-SCOG!F88</f>
        <v>-242453.19</v>
      </c>
      <c r="F26" s="105">
        <f t="shared" si="0"/>
        <v>5692172.81</v>
      </c>
      <c r="G26" s="105">
        <f>SCOG!H24+SCOG!H88+SCOG!I24+SCOG!I88+SCOG!J24+SCOG!J88</f>
        <v>4085485.6100000003</v>
      </c>
      <c r="H26" s="105">
        <f>SCOG!J24+SCOG!J88</f>
        <v>3678763.8100000005</v>
      </c>
      <c r="I26" s="105">
        <f t="shared" si="1"/>
        <v>1606687.1999999993</v>
      </c>
    </row>
    <row r="27" spans="2:9" ht="12">
      <c r="B27" s="145"/>
      <c r="C27" s="146" t="s">
        <v>266</v>
      </c>
      <c r="D27" s="105">
        <f>-SCOG!D25+-SCOG!D89</f>
        <v>3998115</v>
      </c>
      <c r="E27" s="105">
        <f>-SCOG!F25+-SCOG!F89</f>
        <v>20095185.12</v>
      </c>
      <c r="F27" s="105">
        <f t="shared" si="0"/>
        <v>24093300.12</v>
      </c>
      <c r="G27" s="105">
        <f>SCOG!H25+SCOG!H89+SCOG!I25+SCOG!I89+SCOG!J25+SCOG!J89</f>
        <v>23858984.889999997</v>
      </c>
      <c r="H27" s="105">
        <f>SCOG!J25+SCOG!J89</f>
        <v>23806013.819999997</v>
      </c>
      <c r="I27" s="105">
        <f t="shared" si="1"/>
        <v>234315.23000000417</v>
      </c>
    </row>
    <row r="28" spans="2:9" ht="12">
      <c r="B28" s="145"/>
      <c r="C28" s="146" t="s">
        <v>267</v>
      </c>
      <c r="D28" s="105">
        <f>-SCOG!D26+-SCOG!D90</f>
        <v>0</v>
      </c>
      <c r="E28" s="105">
        <f>-SCOG!F26+-SCOG!F90</f>
        <v>0</v>
      </c>
      <c r="F28" s="105">
        <f t="shared" si="0"/>
        <v>0</v>
      </c>
      <c r="G28" s="105">
        <f>SCOG!H26+SCOG!H90+SCOG!I26+SCOG!I90+SCOG!J26+SCOG!J90</f>
        <v>0</v>
      </c>
      <c r="H28" s="105">
        <f>SCOG!J26+SCOG!J90</f>
        <v>0</v>
      </c>
      <c r="I28" s="105">
        <f t="shared" si="1"/>
        <v>0</v>
      </c>
    </row>
    <row r="29" spans="2:9" ht="12">
      <c r="B29" s="145"/>
      <c r="C29" s="146" t="s">
        <v>268</v>
      </c>
      <c r="D29" s="105">
        <f>-SCOG!D27+-SCOG!D91</f>
        <v>615217</v>
      </c>
      <c r="E29" s="105">
        <f>-SCOG!F27+-SCOG!F91</f>
        <v>-428571.75</v>
      </c>
      <c r="F29" s="105">
        <f t="shared" si="0"/>
        <v>186645.25</v>
      </c>
      <c r="G29" s="105">
        <f>SCOG!H27+SCOG!H91+SCOG!I27+SCOG!I91+SCOG!J27+SCOG!J91</f>
        <v>124468.43000000002</v>
      </c>
      <c r="H29" s="105">
        <f>SCOG!J27+SCOG!J91</f>
        <v>103716.90000000002</v>
      </c>
      <c r="I29" s="105">
        <f t="shared" si="1"/>
        <v>62176.81999999998</v>
      </c>
    </row>
    <row r="30" spans="2:9" ht="12">
      <c r="B30" s="733" t="s">
        <v>103</v>
      </c>
      <c r="C30" s="734"/>
      <c r="D30" s="360">
        <f>SUM(D31:D39)</f>
        <v>274977306</v>
      </c>
      <c r="E30" s="360">
        <f>SUM(E31:E39)</f>
        <v>94297282.22999999</v>
      </c>
      <c r="F30" s="360">
        <f t="shared" si="0"/>
        <v>369274588.23</v>
      </c>
      <c r="G30" s="360">
        <f>SUM(G31:G39)</f>
        <v>233669096.57999998</v>
      </c>
      <c r="H30" s="360">
        <f>SUM(H31:H39)</f>
        <v>223740351.01999998</v>
      </c>
      <c r="I30" s="360">
        <f t="shared" si="1"/>
        <v>135605491.65000004</v>
      </c>
    </row>
    <row r="31" spans="2:9" ht="12">
      <c r="B31" s="145"/>
      <c r="C31" s="146" t="s">
        <v>269</v>
      </c>
      <c r="D31" s="105">
        <f>-SCOG!D28+-SCOG!D92</f>
        <v>39112801</v>
      </c>
      <c r="E31" s="105">
        <f>-SCOG!F28+-SCOG!F92</f>
        <v>5159175.16</v>
      </c>
      <c r="F31" s="105">
        <f t="shared" si="0"/>
        <v>44271976.16</v>
      </c>
      <c r="G31" s="105">
        <f>SCOG!H28+SCOG!H92+SCOG!I28+SCOG!I92+SCOG!J28+SCOG!J92</f>
        <v>35469783.55000003</v>
      </c>
      <c r="H31" s="105">
        <f>SCOG!J28+SCOG!J92</f>
        <v>35140258.03000002</v>
      </c>
      <c r="I31" s="105">
        <f t="shared" si="1"/>
        <v>8802192.60999997</v>
      </c>
    </row>
    <row r="32" spans="2:9" ht="12">
      <c r="B32" s="145"/>
      <c r="C32" s="146" t="s">
        <v>270</v>
      </c>
      <c r="D32" s="105">
        <f>-SCOG!D29+-SCOG!D93</f>
        <v>9650614</v>
      </c>
      <c r="E32" s="105">
        <f>-SCOG!F29+-SCOG!F93</f>
        <v>7373955.97</v>
      </c>
      <c r="F32" s="105">
        <f t="shared" si="0"/>
        <v>17024569.97</v>
      </c>
      <c r="G32" s="105">
        <f>SCOG!H29+SCOG!H93+SCOG!I29+SCOG!I93+SCOG!J29+SCOG!J93</f>
        <v>13956048.729999993</v>
      </c>
      <c r="H32" s="105">
        <f>SCOG!J29+SCOG!J93</f>
        <v>13874874.829999993</v>
      </c>
      <c r="I32" s="105">
        <f t="shared" si="1"/>
        <v>3068521.240000006</v>
      </c>
    </row>
    <row r="33" spans="2:9" ht="12">
      <c r="B33" s="145"/>
      <c r="C33" s="146" t="s">
        <v>271</v>
      </c>
      <c r="D33" s="105">
        <f>-SCOG!D30+-SCOG!D94</f>
        <v>35763416</v>
      </c>
      <c r="E33" s="105">
        <f>-SCOG!F30+-SCOG!F94</f>
        <v>77303951.64</v>
      </c>
      <c r="F33" s="105">
        <f t="shared" si="0"/>
        <v>113067367.64</v>
      </c>
      <c r="G33" s="105">
        <f>SCOG!H30+SCOG!H94+SCOG!I30+SCOG!I94+SCOG!J30+SCOG!J94</f>
        <v>41712936.149999976</v>
      </c>
      <c r="H33" s="105">
        <f>SCOG!J30+SCOG!J94</f>
        <v>35404273.24999998</v>
      </c>
      <c r="I33" s="105">
        <f t="shared" si="1"/>
        <v>71354431.49000002</v>
      </c>
    </row>
    <row r="34" spans="2:9" ht="12">
      <c r="B34" s="145"/>
      <c r="C34" s="146" t="s">
        <v>272</v>
      </c>
      <c r="D34" s="105">
        <f>-SCOG!D31+-SCOG!D95</f>
        <v>8965265</v>
      </c>
      <c r="E34" s="105">
        <f>-SCOG!F31+-SCOG!F95</f>
        <v>-256505.82</v>
      </c>
      <c r="F34" s="105">
        <f t="shared" si="0"/>
        <v>8708759.18</v>
      </c>
      <c r="G34" s="105">
        <f>SCOG!H31+SCOG!H95+SCOG!I31+SCOG!I95+SCOG!J31+SCOG!J95</f>
        <v>8090426.050000001</v>
      </c>
      <c r="H34" s="105">
        <f>SCOG!J31+SCOG!J95</f>
        <v>6209211.830000001</v>
      </c>
      <c r="I34" s="105">
        <f t="shared" si="1"/>
        <v>618333.129999999</v>
      </c>
    </row>
    <row r="35" spans="2:9" ht="24">
      <c r="B35" s="145"/>
      <c r="C35" s="146" t="s">
        <v>273</v>
      </c>
      <c r="D35" s="105">
        <f>-SCOG!D32+-SCOG!D96</f>
        <v>17118903</v>
      </c>
      <c r="E35" s="105">
        <f>-SCOG!F32+-SCOG!F96</f>
        <v>-5351774.78</v>
      </c>
      <c r="F35" s="105">
        <f t="shared" si="0"/>
        <v>11767128.219999999</v>
      </c>
      <c r="G35" s="105">
        <f>SCOG!H32+SCOG!H96+SCOG!I32+SCOG!I96+SCOG!J32+SCOG!J96</f>
        <v>11737030.78</v>
      </c>
      <c r="H35" s="105">
        <f>SCOG!J32+SCOG!J96</f>
        <v>10881338.79</v>
      </c>
      <c r="I35" s="105">
        <f t="shared" si="1"/>
        <v>30097.43999999948</v>
      </c>
    </row>
    <row r="36" spans="2:9" ht="12">
      <c r="B36" s="145"/>
      <c r="C36" s="146" t="s">
        <v>274</v>
      </c>
      <c r="D36" s="105">
        <f>-SCOG!D33+-SCOG!D97</f>
        <v>320120</v>
      </c>
      <c r="E36" s="105">
        <f>-SCOG!F33+-SCOG!F97</f>
        <v>-286769.84</v>
      </c>
      <c r="F36" s="105">
        <f t="shared" si="0"/>
        <v>33350.159999999974</v>
      </c>
      <c r="G36" s="105">
        <f>SCOG!H33+SCOG!H97+SCOG!I33+SCOG!I97+SCOG!J33+SCOG!J97</f>
        <v>33262.16</v>
      </c>
      <c r="H36" s="105">
        <f>SCOG!J33+SCOG!J97</f>
        <v>33262.16</v>
      </c>
      <c r="I36" s="105">
        <f t="shared" si="1"/>
        <v>87.9999999999709</v>
      </c>
    </row>
    <row r="37" spans="2:9" ht="12">
      <c r="B37" s="145"/>
      <c r="C37" s="146" t="s">
        <v>275</v>
      </c>
      <c r="D37" s="105">
        <f>-SCOG!D34+-SCOG!D98</f>
        <v>5655333</v>
      </c>
      <c r="E37" s="105">
        <f>-SCOG!F34+-SCOG!F98</f>
        <v>-2685608.4</v>
      </c>
      <c r="F37" s="105">
        <f t="shared" si="0"/>
        <v>2969724.6</v>
      </c>
      <c r="G37" s="105">
        <f>SCOG!H34+SCOG!H98+SCOG!I34+SCOG!I98+SCOG!J34+SCOG!J98</f>
        <v>2172320.31</v>
      </c>
      <c r="H37" s="105">
        <f>SCOG!J34+SCOG!J98</f>
        <v>1982989.4</v>
      </c>
      <c r="I37" s="105">
        <f t="shared" si="1"/>
        <v>797404.29</v>
      </c>
    </row>
    <row r="38" spans="2:9" ht="12">
      <c r="B38" s="145"/>
      <c r="C38" s="146" t="s">
        <v>276</v>
      </c>
      <c r="D38" s="105">
        <f>-SCOG!D35+-SCOG!D99</f>
        <v>26484373</v>
      </c>
      <c r="E38" s="105">
        <f>-SCOG!F35+-SCOG!F99</f>
        <v>3310214.78</v>
      </c>
      <c r="F38" s="105">
        <f t="shared" si="0"/>
        <v>29794587.78</v>
      </c>
      <c r="G38" s="105">
        <f>SCOG!H35+SCOG!H99+SCOG!I35+SCOG!I99+SCOG!J35+SCOG!J99</f>
        <v>24913944.17999999</v>
      </c>
      <c r="H38" s="105">
        <f>SCOG!J35+SCOG!J99</f>
        <v>24674014.93999999</v>
      </c>
      <c r="I38" s="105">
        <f t="shared" si="1"/>
        <v>4880643.600000013</v>
      </c>
    </row>
    <row r="39" spans="2:9" ht="12">
      <c r="B39" s="145"/>
      <c r="C39" s="146" t="s">
        <v>17</v>
      </c>
      <c r="D39" s="105">
        <f>-SCOG!D36+-SCOG!D100</f>
        <v>131906481</v>
      </c>
      <c r="E39" s="105">
        <f>-SCOG!F36+-SCOG!F100</f>
        <v>9730643.52</v>
      </c>
      <c r="F39" s="105">
        <f t="shared" si="0"/>
        <v>141637124.52</v>
      </c>
      <c r="G39" s="105">
        <f>SCOG!H36+SCOG!H100+SCOG!I36+SCOG!I100+SCOG!J36+SCOG!J100</f>
        <v>95583344.67</v>
      </c>
      <c r="H39" s="105">
        <f>SCOG!J36+SCOG!J100</f>
        <v>95540127.79</v>
      </c>
      <c r="I39" s="105">
        <f t="shared" si="1"/>
        <v>46053779.85000001</v>
      </c>
    </row>
    <row r="40" spans="2:9" ht="12">
      <c r="B40" s="733" t="s">
        <v>234</v>
      </c>
      <c r="C40" s="734"/>
      <c r="D40" s="360">
        <f>SUM(D41:D49)</f>
        <v>56677374</v>
      </c>
      <c r="E40" s="360">
        <f>SUM(E41:E49)</f>
        <v>56284932.269999996</v>
      </c>
      <c r="F40" s="360">
        <f t="shared" si="0"/>
        <v>112962306.27</v>
      </c>
      <c r="G40" s="360">
        <f>SUM(G41:G49)</f>
        <v>78012995.14</v>
      </c>
      <c r="H40" s="360">
        <f>SUM(H41:H49)</f>
        <v>77733880.66</v>
      </c>
      <c r="I40" s="360">
        <f t="shared" si="1"/>
        <v>34949311.129999995</v>
      </c>
    </row>
    <row r="41" spans="2:9" ht="12">
      <c r="B41" s="145"/>
      <c r="C41" s="146" t="s">
        <v>108</v>
      </c>
      <c r="D41" s="105">
        <f>-SCOG!D37+-SCOG!D101</f>
        <v>0</v>
      </c>
      <c r="E41" s="105">
        <f>-SCOG!F37+-SCOG!F101</f>
        <v>0</v>
      </c>
      <c r="F41" s="105">
        <f t="shared" si="0"/>
        <v>0</v>
      </c>
      <c r="G41" s="105">
        <f>SCOG!H37+SCOG!H101+SCOG!I37+SCOG!I101+SCOG!J37+SCOG!J101</f>
        <v>0</v>
      </c>
      <c r="H41" s="105">
        <f>SCOG!J37+SCOG!J101</f>
        <v>0</v>
      </c>
      <c r="I41" s="105">
        <f t="shared" si="1"/>
        <v>0</v>
      </c>
    </row>
    <row r="42" spans="2:9" ht="12">
      <c r="B42" s="145"/>
      <c r="C42" s="146" t="s">
        <v>110</v>
      </c>
      <c r="D42" s="105">
        <f>-SCOG!D38+-SCOG!D102</f>
        <v>0</v>
      </c>
      <c r="E42" s="105">
        <f>-SCOG!F38+-SCOG!F102</f>
        <v>0</v>
      </c>
      <c r="F42" s="105">
        <f t="shared" si="0"/>
        <v>0</v>
      </c>
      <c r="G42" s="105">
        <f>SCOG!H38+SCOG!H102+SCOG!I38+SCOG!I102+SCOG!J38+SCOG!J102</f>
        <v>0</v>
      </c>
      <c r="H42" s="105">
        <f>SCOG!J38+SCOG!J102</f>
        <v>0</v>
      </c>
      <c r="I42" s="105">
        <f t="shared" si="1"/>
        <v>0</v>
      </c>
    </row>
    <row r="43" spans="2:9" ht="12">
      <c r="B43" s="145"/>
      <c r="C43" s="146" t="s">
        <v>112</v>
      </c>
      <c r="D43" s="105">
        <f>-SCOG!D39+-SCOG!D103</f>
        <v>0</v>
      </c>
      <c r="E43" s="105">
        <f>-SCOG!F39+-SCOG!F103</f>
        <v>0</v>
      </c>
      <c r="F43" s="105">
        <f t="shared" si="0"/>
        <v>0</v>
      </c>
      <c r="G43" s="105">
        <f>SCOG!H39+SCOG!H103+SCOG!I39+SCOG!I103+SCOG!J39+SCOG!J103</f>
        <v>0</v>
      </c>
      <c r="H43" s="105">
        <f>SCOG!J39+SCOG!J103</f>
        <v>0</v>
      </c>
      <c r="I43" s="105">
        <f t="shared" si="1"/>
        <v>0</v>
      </c>
    </row>
    <row r="44" spans="2:9" ht="12">
      <c r="B44" s="145"/>
      <c r="C44" s="146" t="s">
        <v>113</v>
      </c>
      <c r="D44" s="105">
        <f>-SCOG!D40+-SCOG!D104</f>
        <v>50851108</v>
      </c>
      <c r="E44" s="105">
        <f>-SCOG!F40+-SCOG!F104</f>
        <v>24342556.09</v>
      </c>
      <c r="F44" s="105">
        <f aca="true" t="shared" si="2" ref="F44:F75">+D44+E44</f>
        <v>75193664.09</v>
      </c>
      <c r="G44" s="105">
        <f>SCOG!H40+SCOG!H104+SCOG!I40+SCOG!I104+SCOG!J40+SCOG!J104</f>
        <v>40244352.96</v>
      </c>
      <c r="H44" s="105">
        <f>SCOG!J40+SCOG!J104</f>
        <v>39965238.480000004</v>
      </c>
      <c r="I44" s="105">
        <f aca="true" t="shared" si="3" ref="I44:I75">+F44-G44</f>
        <v>34949311.13</v>
      </c>
    </row>
    <row r="45" spans="2:9" ht="12">
      <c r="B45" s="145"/>
      <c r="C45" s="146" t="s">
        <v>115</v>
      </c>
      <c r="D45" s="105">
        <f>-SCOG!D41+-SCOG!D105</f>
        <v>5826266</v>
      </c>
      <c r="E45" s="105">
        <f>-SCOG!F41+-SCOG!F105</f>
        <v>31942376.18</v>
      </c>
      <c r="F45" s="105">
        <f t="shared" si="2"/>
        <v>37768642.18</v>
      </c>
      <c r="G45" s="105">
        <f>SCOG!H41+SCOG!H105+SCOG!I41+SCOG!I105+SCOG!J41+SCOG!J105</f>
        <v>37768642.18</v>
      </c>
      <c r="H45" s="105">
        <f>SCOG!J41+SCOG!J105</f>
        <v>37768642.18</v>
      </c>
      <c r="I45" s="105">
        <f t="shared" si="3"/>
        <v>0</v>
      </c>
    </row>
    <row r="46" spans="2:9" ht="12">
      <c r="B46" s="145"/>
      <c r="C46" s="146" t="s">
        <v>277</v>
      </c>
      <c r="D46" s="105">
        <f>-SCOG!D42+-SCOG!D106</f>
        <v>0</v>
      </c>
      <c r="E46" s="105">
        <f>-SCOG!F42+-SCOG!F106</f>
        <v>0</v>
      </c>
      <c r="F46" s="105">
        <f t="shared" si="2"/>
        <v>0</v>
      </c>
      <c r="G46" s="105">
        <f>SCOG!H42+SCOG!H106+SCOG!I42+SCOG!I106+SCOG!J42+SCOG!J106</f>
        <v>0</v>
      </c>
      <c r="H46" s="105">
        <f>SCOG!J42+SCOG!J106</f>
        <v>0</v>
      </c>
      <c r="I46" s="105">
        <f t="shared" si="3"/>
        <v>0</v>
      </c>
    </row>
    <row r="47" spans="2:9" ht="12">
      <c r="B47" s="145"/>
      <c r="C47" s="146" t="s">
        <v>119</v>
      </c>
      <c r="D47" s="105">
        <f>-SCOG!D43+-SCOG!D107</f>
        <v>0</v>
      </c>
      <c r="E47" s="105">
        <f>-SCOG!F43+-SCOG!F107</f>
        <v>0</v>
      </c>
      <c r="F47" s="105">
        <f t="shared" si="2"/>
        <v>0</v>
      </c>
      <c r="G47" s="105">
        <f>SCOG!H43+SCOG!H107+SCOG!I43+SCOG!I107+SCOG!J43+SCOG!J107</f>
        <v>0</v>
      </c>
      <c r="H47" s="105">
        <f>SCOG!J43+SCOG!J107</f>
        <v>0</v>
      </c>
      <c r="I47" s="105">
        <f t="shared" si="3"/>
        <v>0</v>
      </c>
    </row>
    <row r="48" spans="2:9" ht="12">
      <c r="B48" s="145"/>
      <c r="C48" s="146" t="s">
        <v>120</v>
      </c>
      <c r="D48" s="105">
        <f>-SCOG!D44+-SCOG!D108</f>
        <v>0</v>
      </c>
      <c r="E48" s="105">
        <f>-SCOG!F44+-SCOG!F108</f>
        <v>0</v>
      </c>
      <c r="F48" s="105">
        <f t="shared" si="2"/>
        <v>0</v>
      </c>
      <c r="G48" s="105">
        <f>SCOG!H44+SCOG!H108+SCOG!I44+SCOG!I108+SCOG!J44+SCOG!J108</f>
        <v>0</v>
      </c>
      <c r="H48" s="105">
        <f>SCOG!J44+SCOG!J108</f>
        <v>0</v>
      </c>
      <c r="I48" s="105">
        <f t="shared" si="3"/>
        <v>0</v>
      </c>
    </row>
    <row r="49" spans="2:9" ht="12">
      <c r="B49" s="145"/>
      <c r="C49" s="146" t="s">
        <v>122</v>
      </c>
      <c r="D49" s="105">
        <f>-SCOG!D45+-SCOG!D109</f>
        <v>0</v>
      </c>
      <c r="E49" s="105">
        <f>-SCOG!F45+-SCOG!F109</f>
        <v>0</v>
      </c>
      <c r="F49" s="105">
        <f t="shared" si="2"/>
        <v>0</v>
      </c>
      <c r="G49" s="105">
        <f>SCOG!H45+SCOG!H109+SCOG!I45+SCOG!I109+SCOG!J45+SCOG!J109</f>
        <v>0</v>
      </c>
      <c r="H49" s="105">
        <f>SCOG!J45+SCOG!J109</f>
        <v>0</v>
      </c>
      <c r="I49" s="105">
        <f t="shared" si="3"/>
        <v>0</v>
      </c>
    </row>
    <row r="50" spans="2:9" ht="12">
      <c r="B50" s="733" t="s">
        <v>278</v>
      </c>
      <c r="C50" s="734"/>
      <c r="D50" s="360">
        <f>SUM(D51:D59)</f>
        <v>31099830</v>
      </c>
      <c r="E50" s="360">
        <f>SUM(E51:E59)</f>
        <v>-14122053.73</v>
      </c>
      <c r="F50" s="360">
        <f t="shared" si="2"/>
        <v>16977776.27</v>
      </c>
      <c r="G50" s="360">
        <f>SUM(G51:G59)</f>
        <v>9601191.25</v>
      </c>
      <c r="H50" s="360">
        <f>SUM(H51:H59)</f>
        <v>4823671.51</v>
      </c>
      <c r="I50" s="360">
        <f t="shared" si="3"/>
        <v>7376585.02</v>
      </c>
    </row>
    <row r="51" spans="2:9" ht="12">
      <c r="B51" s="145"/>
      <c r="C51" s="146" t="s">
        <v>279</v>
      </c>
      <c r="D51" s="105">
        <f>-SCOG!D46+-SCOG!D110</f>
        <v>1293370</v>
      </c>
      <c r="E51" s="105">
        <f>-SCOG!F46+-SCOG!F110</f>
        <v>8084743.59</v>
      </c>
      <c r="F51" s="105">
        <f t="shared" si="2"/>
        <v>9378113.59</v>
      </c>
      <c r="G51" s="105">
        <f>SCOG!H46+SCOG!H110+SCOG!I46+SCOG!I110+SCOG!J46+SCOG!J110</f>
        <v>2896478.9699999997</v>
      </c>
      <c r="H51" s="105">
        <f>SCOG!J46+SCOG!J110</f>
        <v>1632839.3099999998</v>
      </c>
      <c r="I51" s="105">
        <f t="shared" si="3"/>
        <v>6481634.62</v>
      </c>
    </row>
    <row r="52" spans="2:9" ht="12">
      <c r="B52" s="145"/>
      <c r="C52" s="146" t="s">
        <v>280</v>
      </c>
      <c r="D52" s="105">
        <f>-SCOG!D47+-SCOG!D111</f>
        <v>19226600</v>
      </c>
      <c r="E52" s="105">
        <f>-SCOG!F47+-SCOG!F111</f>
        <v>-18982149.6</v>
      </c>
      <c r="F52" s="105">
        <f t="shared" si="2"/>
        <v>244450.3999999985</v>
      </c>
      <c r="G52" s="105">
        <f>SCOG!H47+SCOG!H111+SCOG!I47+SCOG!I111+SCOG!J47+SCOG!J111</f>
        <v>155723</v>
      </c>
      <c r="H52" s="105">
        <f>SCOG!J47+SCOG!J111</f>
        <v>34081.92</v>
      </c>
      <c r="I52" s="105">
        <f t="shared" si="3"/>
        <v>88727.39999999851</v>
      </c>
    </row>
    <row r="53" spans="2:9" ht="12">
      <c r="B53" s="145"/>
      <c r="C53" s="146" t="s">
        <v>281</v>
      </c>
      <c r="D53" s="105">
        <f>-SCOG!D48+-SCOG!D112</f>
        <v>0</v>
      </c>
      <c r="E53" s="105">
        <f>-SCOG!F48+-SCOG!F112</f>
        <v>4543.72</v>
      </c>
      <c r="F53" s="105">
        <f t="shared" si="2"/>
        <v>4543.72</v>
      </c>
      <c r="G53" s="105">
        <f>SCOG!H48+SCOG!H112+SCOG!I48+SCOG!I112+SCOG!J48+SCOG!J112</f>
        <v>4543.72</v>
      </c>
      <c r="H53" s="105">
        <f>SCOG!J48+SCOG!J112</f>
        <v>4543.72</v>
      </c>
      <c r="I53" s="105">
        <f t="shared" si="3"/>
        <v>0</v>
      </c>
    </row>
    <row r="54" spans="2:9" ht="12">
      <c r="B54" s="145"/>
      <c r="C54" s="146" t="s">
        <v>282</v>
      </c>
      <c r="D54" s="105">
        <f>-SCOG!D49+-SCOG!D113</f>
        <v>280000</v>
      </c>
      <c r="E54" s="105">
        <f>-SCOG!F49+-SCOG!F113</f>
        <v>450000</v>
      </c>
      <c r="F54" s="105">
        <f t="shared" si="2"/>
        <v>730000</v>
      </c>
      <c r="G54" s="105">
        <f>SCOG!H49+SCOG!H113+SCOG!I49+SCOG!I113+SCOG!J49+SCOG!J113</f>
        <v>0</v>
      </c>
      <c r="H54" s="105">
        <f>SCOG!J49+SCOG!J113</f>
        <v>0</v>
      </c>
      <c r="I54" s="105">
        <f t="shared" si="3"/>
        <v>730000</v>
      </c>
    </row>
    <row r="55" spans="2:9" ht="12">
      <c r="B55" s="145"/>
      <c r="C55" s="146" t="s">
        <v>283</v>
      </c>
      <c r="D55" s="105">
        <f>-SCOG!D50+-SCOG!D114</f>
        <v>0</v>
      </c>
      <c r="E55" s="105">
        <f>-SCOG!F50+-SCOG!F114</f>
        <v>0</v>
      </c>
      <c r="F55" s="105">
        <f t="shared" si="2"/>
        <v>0</v>
      </c>
      <c r="G55" s="105">
        <f>SCOG!H50+SCOG!H114+SCOG!I50+SCOG!I114+SCOG!J50+SCOG!J114</f>
        <v>0</v>
      </c>
      <c r="H55" s="105">
        <f>SCOG!J50+SCOG!J114</f>
        <v>0</v>
      </c>
      <c r="I55" s="105">
        <f t="shared" si="3"/>
        <v>0</v>
      </c>
    </row>
    <row r="56" spans="2:9" ht="12">
      <c r="B56" s="145"/>
      <c r="C56" s="146" t="s">
        <v>284</v>
      </c>
      <c r="D56" s="105">
        <f>-SCOG!D51+-SCOG!D115</f>
        <v>2849860</v>
      </c>
      <c r="E56" s="105">
        <f>-SCOG!F51+-SCOG!F115</f>
        <v>-2460378</v>
      </c>
      <c r="F56" s="105">
        <f t="shared" si="2"/>
        <v>389482</v>
      </c>
      <c r="G56" s="105">
        <f>SCOG!H51+SCOG!H115+SCOG!I51+SCOG!I115+SCOG!J51+SCOG!J115</f>
        <v>313259</v>
      </c>
      <c r="H56" s="105">
        <f>SCOG!J51+SCOG!J115</f>
        <v>35500</v>
      </c>
      <c r="I56" s="105">
        <f t="shared" si="3"/>
        <v>76223</v>
      </c>
    </row>
    <row r="57" spans="2:9" ht="12">
      <c r="B57" s="145"/>
      <c r="C57" s="146" t="s">
        <v>285</v>
      </c>
      <c r="D57" s="105">
        <f>-SCOG!D52+-SCOG!D116</f>
        <v>0</v>
      </c>
      <c r="E57" s="105">
        <f>-SCOG!F52+-SCOG!F116</f>
        <v>3498.56</v>
      </c>
      <c r="F57" s="105">
        <f t="shared" si="2"/>
        <v>3498.56</v>
      </c>
      <c r="G57" s="105">
        <f>SCOG!H52+SCOG!H116+SCOG!I52+SCOG!I116+SCOG!J52+SCOG!J116</f>
        <v>3498.56</v>
      </c>
      <c r="H57" s="105">
        <f>SCOG!J52+SCOG!J116</f>
        <v>3498.56</v>
      </c>
      <c r="I57" s="105">
        <f t="shared" si="3"/>
        <v>0</v>
      </c>
    </row>
    <row r="58" spans="2:9" ht="12">
      <c r="B58" s="145"/>
      <c r="C58" s="146" t="s">
        <v>286</v>
      </c>
      <c r="D58" s="105">
        <f>-SCOG!D53+-SCOG!D117</f>
        <v>0</v>
      </c>
      <c r="E58" s="105">
        <f>-SCOG!F53+-SCOG!F117</f>
        <v>0</v>
      </c>
      <c r="F58" s="105">
        <f t="shared" si="2"/>
        <v>0</v>
      </c>
      <c r="G58" s="105">
        <f>SCOG!H53+SCOG!H117+SCOG!I53+SCOG!I117+SCOG!J53+SCOG!J117</f>
        <v>0</v>
      </c>
      <c r="H58" s="105">
        <f>SCOG!J53+SCOG!J117</f>
        <v>0</v>
      </c>
      <c r="I58" s="105">
        <f t="shared" si="3"/>
        <v>0</v>
      </c>
    </row>
    <row r="59" spans="2:9" ht="12">
      <c r="B59" s="145"/>
      <c r="C59" s="146" t="s">
        <v>185</v>
      </c>
      <c r="D59" s="105">
        <f>-SCOG!D54+-SCOG!D118</f>
        <v>7450000</v>
      </c>
      <c r="E59" s="105">
        <f>-SCOG!F54+-SCOG!F118</f>
        <v>-1222312</v>
      </c>
      <c r="F59" s="105">
        <f t="shared" si="2"/>
        <v>6227688</v>
      </c>
      <c r="G59" s="105">
        <f>SCOG!H54+SCOG!H118+SCOG!I54+SCOG!I118+SCOG!J54+SCOG!J118</f>
        <v>6227688</v>
      </c>
      <c r="H59" s="105">
        <f>SCOG!J54+SCOG!J118</f>
        <v>3113208</v>
      </c>
      <c r="I59" s="105">
        <f t="shared" si="3"/>
        <v>0</v>
      </c>
    </row>
    <row r="60" spans="2:9" ht="12">
      <c r="B60" s="733" t="s">
        <v>145</v>
      </c>
      <c r="C60" s="734"/>
      <c r="D60" s="360">
        <f>SUM(D61:D63)</f>
        <v>0</v>
      </c>
      <c r="E60" s="360">
        <f>SUM(E61:E63)</f>
        <v>0</v>
      </c>
      <c r="F60" s="360">
        <f t="shared" si="2"/>
        <v>0</v>
      </c>
      <c r="G60" s="360">
        <f>SUM(G61:G63)</f>
        <v>0</v>
      </c>
      <c r="H60" s="360">
        <f>SUM(H61:H63)</f>
        <v>0</v>
      </c>
      <c r="I60" s="360">
        <f t="shared" si="3"/>
        <v>0</v>
      </c>
    </row>
    <row r="61" spans="2:9" ht="12">
      <c r="B61" s="145"/>
      <c r="C61" s="146" t="s">
        <v>287</v>
      </c>
      <c r="D61" s="105">
        <f>-SCOG!D55+-SCOG!D119</f>
        <v>0</v>
      </c>
      <c r="E61" s="105">
        <f>-SCOG!F55+-SCOG!F119</f>
        <v>0</v>
      </c>
      <c r="F61" s="105">
        <f t="shared" si="2"/>
        <v>0</v>
      </c>
      <c r="G61" s="105">
        <f>SCOG!H55+SCOG!H119+SCOG!I55+SCOG!I119+SCOG!J55+SCOG!J119</f>
        <v>0</v>
      </c>
      <c r="H61" s="105">
        <f>SCOG!J55+SCOG!J119</f>
        <v>0</v>
      </c>
      <c r="I61" s="105">
        <f t="shared" si="3"/>
        <v>0</v>
      </c>
    </row>
    <row r="62" spans="2:9" ht="12">
      <c r="B62" s="145"/>
      <c r="C62" s="146" t="s">
        <v>288</v>
      </c>
      <c r="D62" s="105">
        <f>-SCOG!D56+-SCOG!D120</f>
        <v>0</v>
      </c>
      <c r="E62" s="105">
        <f>-SCOG!F56+-SCOG!F120</f>
        <v>0</v>
      </c>
      <c r="F62" s="105">
        <f t="shared" si="2"/>
        <v>0</v>
      </c>
      <c r="G62" s="105">
        <f>SCOG!H56+SCOG!H120+SCOG!I56+SCOG!I120+SCOG!J56+SCOG!J120</f>
        <v>0</v>
      </c>
      <c r="H62" s="105">
        <f>SCOG!J56+SCOG!J120</f>
        <v>0</v>
      </c>
      <c r="I62" s="105">
        <f t="shared" si="3"/>
        <v>0</v>
      </c>
    </row>
    <row r="63" spans="2:9" ht="12">
      <c r="B63" s="145"/>
      <c r="C63" s="146" t="s">
        <v>289</v>
      </c>
      <c r="D63" s="105">
        <f>-SCOG!D57+-SCOG!D121</f>
        <v>0</v>
      </c>
      <c r="E63" s="105">
        <f>-SCOG!F57+-SCOG!F121</f>
        <v>0</v>
      </c>
      <c r="F63" s="105">
        <f t="shared" si="2"/>
        <v>0</v>
      </c>
      <c r="G63" s="105">
        <f>SCOG!H57+SCOG!H121+SCOG!I57+SCOG!I121+SCOG!J57+SCOG!J121</f>
        <v>0</v>
      </c>
      <c r="H63" s="105">
        <f>SCOG!J57+SCOG!J121</f>
        <v>0</v>
      </c>
      <c r="I63" s="105">
        <f t="shared" si="3"/>
        <v>0</v>
      </c>
    </row>
    <row r="64" spans="2:9" ht="12">
      <c r="B64" s="733" t="s">
        <v>290</v>
      </c>
      <c r="C64" s="734"/>
      <c r="D64" s="360">
        <f>SUM(D65:D71)</f>
        <v>0</v>
      </c>
      <c r="E64" s="360">
        <f>SUM(E65:E71)</f>
        <v>0</v>
      </c>
      <c r="F64" s="360">
        <f t="shared" si="2"/>
        <v>0</v>
      </c>
      <c r="G64" s="360">
        <f>SUM(G65:G71)</f>
        <v>0</v>
      </c>
      <c r="H64" s="360">
        <f>SUM(H65:H71)</f>
        <v>0</v>
      </c>
      <c r="I64" s="360">
        <f t="shared" si="3"/>
        <v>0</v>
      </c>
    </row>
    <row r="65" spans="2:9" ht="12">
      <c r="B65" s="145"/>
      <c r="C65" s="146" t="s">
        <v>291</v>
      </c>
      <c r="D65" s="105">
        <f>-SCOG!D58+-SCOG!D122</f>
        <v>0</v>
      </c>
      <c r="E65" s="105">
        <f>-SCOG!F58+-SCOG!F122</f>
        <v>0</v>
      </c>
      <c r="F65" s="105">
        <f t="shared" si="2"/>
        <v>0</v>
      </c>
      <c r="G65" s="105">
        <f>SCOG!H58+SCOG!H122+SCOG!I58+SCOG!I122+SCOG!J58+SCOG!J122</f>
        <v>0</v>
      </c>
      <c r="H65" s="105">
        <f>SCOG!J58+SCOG!J122</f>
        <v>0</v>
      </c>
      <c r="I65" s="105">
        <f t="shared" si="3"/>
        <v>0</v>
      </c>
    </row>
    <row r="66" spans="2:9" ht="12">
      <c r="B66" s="145"/>
      <c r="C66" s="146" t="s">
        <v>292</v>
      </c>
      <c r="D66" s="105">
        <f>-SCOG!D59+-SCOG!D123</f>
        <v>0</v>
      </c>
      <c r="E66" s="105">
        <f>-SCOG!F59+-SCOG!F123</f>
        <v>0</v>
      </c>
      <c r="F66" s="105">
        <f t="shared" si="2"/>
        <v>0</v>
      </c>
      <c r="G66" s="105">
        <f>SCOG!H59+SCOG!H123+SCOG!I59+SCOG!I123+SCOG!J59+SCOG!J123</f>
        <v>0</v>
      </c>
      <c r="H66" s="105">
        <f>SCOG!J59+SCOG!J123</f>
        <v>0</v>
      </c>
      <c r="I66" s="105">
        <f t="shared" si="3"/>
        <v>0</v>
      </c>
    </row>
    <row r="67" spans="2:9" ht="12">
      <c r="B67" s="145"/>
      <c r="C67" s="146" t="s">
        <v>293</v>
      </c>
      <c r="D67" s="105">
        <f>-SCOG!D60+-SCOG!D124</f>
        <v>0</v>
      </c>
      <c r="E67" s="105">
        <f>-SCOG!F60+-SCOG!F124</f>
        <v>0</v>
      </c>
      <c r="F67" s="105">
        <f t="shared" si="2"/>
        <v>0</v>
      </c>
      <c r="G67" s="105">
        <f>SCOG!H60+SCOG!H124+SCOG!I60+SCOG!I124+SCOG!J60+SCOG!J124</f>
        <v>0</v>
      </c>
      <c r="H67" s="105">
        <f>SCOG!J60+SCOG!J124</f>
        <v>0</v>
      </c>
      <c r="I67" s="105">
        <f t="shared" si="3"/>
        <v>0</v>
      </c>
    </row>
    <row r="68" spans="2:9" ht="12">
      <c r="B68" s="145"/>
      <c r="C68" s="146" t="s">
        <v>294</v>
      </c>
      <c r="D68" s="105">
        <f>-SCOG!D61+-SCOG!D125</f>
        <v>0</v>
      </c>
      <c r="E68" s="105">
        <f>-SCOG!F61+-SCOG!F125</f>
        <v>0</v>
      </c>
      <c r="F68" s="105">
        <f t="shared" si="2"/>
        <v>0</v>
      </c>
      <c r="G68" s="105">
        <f>SCOG!H61+SCOG!H125+SCOG!I61+SCOG!I125+SCOG!J61+SCOG!J125</f>
        <v>0</v>
      </c>
      <c r="H68" s="105">
        <f>SCOG!J61+SCOG!J125</f>
        <v>0</v>
      </c>
      <c r="I68" s="105">
        <f t="shared" si="3"/>
        <v>0</v>
      </c>
    </row>
    <row r="69" spans="2:9" ht="12">
      <c r="B69" s="145"/>
      <c r="C69" s="146" t="s">
        <v>295</v>
      </c>
      <c r="D69" s="105">
        <f>-SCOG!D62+-SCOG!D126</f>
        <v>0</v>
      </c>
      <c r="E69" s="105">
        <f>-SCOG!F62+-SCOG!F126</f>
        <v>0</v>
      </c>
      <c r="F69" s="105">
        <f t="shared" si="2"/>
        <v>0</v>
      </c>
      <c r="G69" s="105">
        <f>SCOG!H62+SCOG!H126+SCOG!I62+SCOG!I126+SCOG!J62+SCOG!J126</f>
        <v>0</v>
      </c>
      <c r="H69" s="105">
        <f>SCOG!J62+SCOG!J126</f>
        <v>0</v>
      </c>
      <c r="I69" s="105">
        <f t="shared" si="3"/>
        <v>0</v>
      </c>
    </row>
    <row r="70" spans="2:9" ht="12">
      <c r="B70" s="145"/>
      <c r="C70" s="146" t="s">
        <v>296</v>
      </c>
      <c r="D70" s="105">
        <f>-SCOG!D63+-SCOG!D127</f>
        <v>0</v>
      </c>
      <c r="E70" s="105">
        <f>-SCOG!F63+-SCOG!F127</f>
        <v>0</v>
      </c>
      <c r="F70" s="105">
        <f t="shared" si="2"/>
        <v>0</v>
      </c>
      <c r="G70" s="105">
        <f>SCOG!H63+SCOG!H127+SCOG!I63+SCOG!I127+SCOG!J63+SCOG!J127</f>
        <v>0</v>
      </c>
      <c r="H70" s="105">
        <f>SCOG!J63+SCOG!J127</f>
        <v>0</v>
      </c>
      <c r="I70" s="105">
        <f t="shared" si="3"/>
        <v>0</v>
      </c>
    </row>
    <row r="71" spans="2:9" ht="12">
      <c r="B71" s="145"/>
      <c r="C71" s="146" t="s">
        <v>297</v>
      </c>
      <c r="D71" s="105">
        <f>-SCOG!D64+-SCOG!D128</f>
        <v>0</v>
      </c>
      <c r="E71" s="105">
        <f>-SCOG!F64+-SCOG!F128</f>
        <v>0</v>
      </c>
      <c r="F71" s="105">
        <f t="shared" si="2"/>
        <v>0</v>
      </c>
      <c r="G71" s="105">
        <f>SCOG!H64+SCOG!H128+SCOG!I64+SCOG!I128+SCOG!J64+SCOG!J128</f>
        <v>0</v>
      </c>
      <c r="H71" s="105">
        <f>SCOG!J64+SCOG!J128</f>
        <v>0</v>
      </c>
      <c r="I71" s="105">
        <f t="shared" si="3"/>
        <v>0</v>
      </c>
    </row>
    <row r="72" spans="2:9" ht="12">
      <c r="B72" s="733" t="s">
        <v>116</v>
      </c>
      <c r="C72" s="734"/>
      <c r="D72" s="360">
        <f>SUM(D73:D75)</f>
        <v>0</v>
      </c>
      <c r="E72" s="360">
        <f>SUM(E73:E75)</f>
        <v>0</v>
      </c>
      <c r="F72" s="360">
        <f t="shared" si="2"/>
        <v>0</v>
      </c>
      <c r="G72" s="360">
        <f>SUM(G73:G75)</f>
        <v>0</v>
      </c>
      <c r="H72" s="360">
        <f>SUM(H73:H75)</f>
        <v>0</v>
      </c>
      <c r="I72" s="360">
        <f t="shared" si="3"/>
        <v>0</v>
      </c>
    </row>
    <row r="73" spans="2:9" ht="12">
      <c r="B73" s="145"/>
      <c r="C73" s="146" t="s">
        <v>126</v>
      </c>
      <c r="D73" s="105">
        <f>-SCOG!D65+-SCOG!D129</f>
        <v>0</v>
      </c>
      <c r="E73" s="105">
        <f>-SCOG!F65+-SCOG!F129</f>
        <v>0</v>
      </c>
      <c r="F73" s="105">
        <f t="shared" si="2"/>
        <v>0</v>
      </c>
      <c r="G73" s="105">
        <f>SCOG!H65+SCOG!H129+SCOG!I65+SCOG!I129+SCOG!J65+SCOG!J129</f>
        <v>0</v>
      </c>
      <c r="H73" s="105">
        <f>SCOG!J65+SCOG!J129</f>
        <v>0</v>
      </c>
      <c r="I73" s="105">
        <f t="shared" si="3"/>
        <v>0</v>
      </c>
    </row>
    <row r="74" spans="2:9" ht="12">
      <c r="B74" s="145"/>
      <c r="C74" s="146" t="s">
        <v>128</v>
      </c>
      <c r="D74" s="105">
        <f>-SCOG!D66+-SCOG!D130</f>
        <v>0</v>
      </c>
      <c r="E74" s="105">
        <f>-SCOG!F66+-SCOG!F130</f>
        <v>0</v>
      </c>
      <c r="F74" s="105">
        <f t="shared" si="2"/>
        <v>0</v>
      </c>
      <c r="G74" s="105">
        <f>SCOG!H66+SCOG!H130+SCOG!I66+SCOG!I130+SCOG!J66+SCOG!J130</f>
        <v>0</v>
      </c>
      <c r="H74" s="105">
        <f>SCOG!J66+SCOG!J130</f>
        <v>0</v>
      </c>
      <c r="I74" s="105">
        <f t="shared" si="3"/>
        <v>0</v>
      </c>
    </row>
    <row r="75" spans="2:9" ht="12">
      <c r="B75" s="145"/>
      <c r="C75" s="146" t="s">
        <v>130</v>
      </c>
      <c r="D75" s="105">
        <f>-SCOG!D67+-SCOG!D131</f>
        <v>0</v>
      </c>
      <c r="E75" s="105">
        <f>-SCOG!F67+-SCOG!F131</f>
        <v>0</v>
      </c>
      <c r="F75" s="105">
        <f t="shared" si="2"/>
        <v>0</v>
      </c>
      <c r="G75" s="105">
        <f>SCOG!H67+SCOG!H131+SCOG!I67+SCOG!I131+SCOG!J67+SCOG!J131</f>
        <v>0</v>
      </c>
      <c r="H75" s="105">
        <f>SCOG!J67+SCOG!J131</f>
        <v>0</v>
      </c>
      <c r="I75" s="105">
        <f t="shared" si="3"/>
        <v>0</v>
      </c>
    </row>
    <row r="76" spans="2:9" ht="12">
      <c r="B76" s="733" t="s">
        <v>298</v>
      </c>
      <c r="C76" s="734"/>
      <c r="D76" s="360">
        <f>SUM(D77:D83)</f>
        <v>0</v>
      </c>
      <c r="E76" s="360">
        <f>SUM(E77:E83)</f>
        <v>17783604.64</v>
      </c>
      <c r="F76" s="360">
        <f aca="true" t="shared" si="4" ref="F76:F83">+D76+E76</f>
        <v>17783604.64</v>
      </c>
      <c r="G76" s="360">
        <f>SUM(G77:G83)</f>
        <v>17405925.75</v>
      </c>
      <c r="H76" s="360">
        <f>SUM(H77:H83)</f>
        <v>14030675.03</v>
      </c>
      <c r="I76" s="360">
        <f aca="true" t="shared" si="5" ref="I76:I83">+F76-G76</f>
        <v>377678.8900000006</v>
      </c>
    </row>
    <row r="77" spans="2:9" ht="12">
      <c r="B77" s="145"/>
      <c r="C77" s="146" t="s">
        <v>299</v>
      </c>
      <c r="D77" s="105">
        <f>-SCOG!D68+-SCOG!D132</f>
        <v>0</v>
      </c>
      <c r="E77" s="105">
        <f>-SCOG!F68+-SCOG!F132</f>
        <v>0</v>
      </c>
      <c r="F77" s="105">
        <f t="shared" si="4"/>
        <v>0</v>
      </c>
      <c r="G77" s="105">
        <f>SCOG!H68+SCOG!H132+SCOG!I68+SCOG!I132+SCOG!J68+SCOG!J132</f>
        <v>0</v>
      </c>
      <c r="H77" s="105">
        <f>SCOG!J68+SCOG!J132</f>
        <v>0</v>
      </c>
      <c r="I77" s="105">
        <f t="shared" si="5"/>
        <v>0</v>
      </c>
    </row>
    <row r="78" spans="2:9" ht="12">
      <c r="B78" s="145"/>
      <c r="C78" s="146" t="s">
        <v>133</v>
      </c>
      <c r="D78" s="105">
        <f>-SCOG!D69+-SCOG!D133</f>
        <v>0</v>
      </c>
      <c r="E78" s="105">
        <f>-SCOG!F69+-SCOG!F133</f>
        <v>0</v>
      </c>
      <c r="F78" s="105">
        <f t="shared" si="4"/>
        <v>0</v>
      </c>
      <c r="G78" s="105">
        <f>SCOG!H69+SCOG!H133+SCOG!I69+SCOG!I133+SCOG!J69+SCOG!J133</f>
        <v>0</v>
      </c>
      <c r="H78" s="105">
        <f>SCOG!J69+SCOG!J133</f>
        <v>0</v>
      </c>
      <c r="I78" s="105">
        <f t="shared" si="5"/>
        <v>0</v>
      </c>
    </row>
    <row r="79" spans="2:9" ht="12">
      <c r="B79" s="145"/>
      <c r="C79" s="146" t="s">
        <v>134</v>
      </c>
      <c r="D79" s="105">
        <f>-SCOG!D70+-SCOG!D134</f>
        <v>0</v>
      </c>
      <c r="E79" s="105">
        <f>-SCOG!F70+-SCOG!F134</f>
        <v>0</v>
      </c>
      <c r="F79" s="105">
        <f t="shared" si="4"/>
        <v>0</v>
      </c>
      <c r="G79" s="105">
        <f>SCOG!H70+SCOG!H134+SCOG!I70+SCOG!I134+SCOG!J70+SCOG!J134</f>
        <v>0</v>
      </c>
      <c r="H79" s="105">
        <f>SCOG!J70+SCOG!J134</f>
        <v>0</v>
      </c>
      <c r="I79" s="105">
        <f t="shared" si="5"/>
        <v>0</v>
      </c>
    </row>
    <row r="80" spans="2:9" ht="12">
      <c r="B80" s="145"/>
      <c r="C80" s="146" t="s">
        <v>135</v>
      </c>
      <c r="D80" s="105">
        <f>-SCOG!D71+-SCOG!D135</f>
        <v>0</v>
      </c>
      <c r="E80" s="105">
        <f>-SCOG!F71+-SCOG!F135</f>
        <v>0</v>
      </c>
      <c r="F80" s="105">
        <f t="shared" si="4"/>
        <v>0</v>
      </c>
      <c r="G80" s="105">
        <f>SCOG!H71+SCOG!H135+SCOG!I71+SCOG!I135+SCOG!J71+SCOG!J135</f>
        <v>0</v>
      </c>
      <c r="H80" s="105">
        <f>SCOG!J71+SCOG!J135</f>
        <v>0</v>
      </c>
      <c r="I80" s="105">
        <f t="shared" si="5"/>
        <v>0</v>
      </c>
    </row>
    <row r="81" spans="2:9" ht="12">
      <c r="B81" s="145"/>
      <c r="C81" s="146" t="s">
        <v>136</v>
      </c>
      <c r="D81" s="105">
        <f>-SCOG!D72+-SCOG!D136</f>
        <v>0</v>
      </c>
      <c r="E81" s="105">
        <f>-SCOG!F72+-SCOG!F136</f>
        <v>0</v>
      </c>
      <c r="F81" s="105">
        <f t="shared" si="4"/>
        <v>0</v>
      </c>
      <c r="G81" s="105">
        <f>SCOG!H72+SCOG!H136+SCOG!I72+SCOG!I136+SCOG!J72+SCOG!J136</f>
        <v>0</v>
      </c>
      <c r="H81" s="105">
        <f>SCOG!J72+SCOG!J136</f>
        <v>0</v>
      </c>
      <c r="I81" s="105">
        <f t="shared" si="5"/>
        <v>0</v>
      </c>
    </row>
    <row r="82" spans="2:9" ht="12">
      <c r="B82" s="145"/>
      <c r="C82" s="146" t="s">
        <v>137</v>
      </c>
      <c r="D82" s="105">
        <f>-SCOG!D73+-SCOG!D137</f>
        <v>0</v>
      </c>
      <c r="E82" s="105">
        <f>-SCOG!F73+-SCOG!F137</f>
        <v>0</v>
      </c>
      <c r="F82" s="105">
        <f t="shared" si="4"/>
        <v>0</v>
      </c>
      <c r="G82" s="105">
        <f>SCOG!H73+SCOG!H137+SCOG!I73+SCOG!I137+SCOG!J73+SCOG!J137</f>
        <v>0</v>
      </c>
      <c r="H82" s="105">
        <f>SCOG!J73+SCOG!J137</f>
        <v>0</v>
      </c>
      <c r="I82" s="105">
        <f t="shared" si="5"/>
        <v>0</v>
      </c>
    </row>
    <row r="83" spans="2:9" ht="12">
      <c r="B83" s="145"/>
      <c r="C83" s="146" t="s">
        <v>300</v>
      </c>
      <c r="D83" s="105">
        <f>-SCOG!D74+-SCOG!D138</f>
        <v>0</v>
      </c>
      <c r="E83" s="105">
        <f>-SCOG!F74+-SCOG!F138</f>
        <v>17783604.64</v>
      </c>
      <c r="F83" s="105">
        <f t="shared" si="4"/>
        <v>17783604.64</v>
      </c>
      <c r="G83" s="105">
        <f>SCOG!H74+SCOG!H138+SCOG!I74+SCOG!I138+SCOG!J74+SCOG!J138</f>
        <v>17405925.75</v>
      </c>
      <c r="H83" s="105">
        <f>SCOG!J74+SCOG!J138</f>
        <v>14030675.03</v>
      </c>
      <c r="I83" s="105">
        <f t="shared" si="5"/>
        <v>377678.8900000006</v>
      </c>
    </row>
    <row r="84" spans="1:10" s="1" customFormat="1" ht="12">
      <c r="A84" s="124"/>
      <c r="B84" s="147"/>
      <c r="C84" s="148" t="s">
        <v>248</v>
      </c>
      <c r="D84" s="398">
        <f aca="true" t="shared" si="6" ref="D84:I84">+D12+D20+D30+D40+D50+D60+D64+D72+D76</f>
        <v>7002457993</v>
      </c>
      <c r="E84" s="398">
        <f t="shared" si="6"/>
        <v>156967661.2</v>
      </c>
      <c r="F84" s="398">
        <f t="shared" si="6"/>
        <v>7159425654.200002</v>
      </c>
      <c r="G84" s="398">
        <f t="shared" si="6"/>
        <v>3843162763.859999</v>
      </c>
      <c r="H84" s="398">
        <f t="shared" si="6"/>
        <v>710862303.7599999</v>
      </c>
      <c r="I84" s="398">
        <f t="shared" si="6"/>
        <v>3316262890.34</v>
      </c>
      <c r="J84" s="124"/>
    </row>
    <row r="85" spans="2:8" ht="12">
      <c r="B85" s="693" t="s">
        <v>149</v>
      </c>
      <c r="C85" s="693"/>
      <c r="D85" s="693"/>
      <c r="E85" s="693"/>
      <c r="F85" s="693"/>
      <c r="G85" s="693"/>
      <c r="H85" s="693"/>
    </row>
    <row r="86" spans="2:9" ht="52.5" customHeight="1" hidden="1">
      <c r="B86" s="715" t="s">
        <v>249</v>
      </c>
      <c r="C86" s="716"/>
      <c r="D86" s="716"/>
      <c r="E86" s="716"/>
      <c r="F86" s="716"/>
      <c r="G86" s="716"/>
      <c r="H86" s="716"/>
      <c r="I86" s="716"/>
    </row>
    <row r="87" spans="2:9" ht="12">
      <c r="B87" s="693"/>
      <c r="C87" s="693"/>
      <c r="D87" s="693"/>
      <c r="E87" s="693"/>
      <c r="F87" s="693"/>
      <c r="G87" s="693"/>
      <c r="H87" s="693"/>
      <c r="I87" s="143"/>
    </row>
    <row r="88" spans="2:9" ht="12">
      <c r="B88" s="350"/>
      <c r="C88" s="350"/>
      <c r="D88" s="350"/>
      <c r="E88" s="350"/>
      <c r="F88" s="350"/>
      <c r="G88" s="350"/>
      <c r="H88" s="350"/>
      <c r="I88" s="143"/>
    </row>
    <row r="89" spans="2:9" ht="12">
      <c r="B89" s="350"/>
      <c r="C89" s="350"/>
      <c r="D89" s="350"/>
      <c r="E89" s="350"/>
      <c r="F89" s="350"/>
      <c r="G89" s="350"/>
      <c r="H89" s="350"/>
      <c r="I89" s="143"/>
    </row>
    <row r="90" spans="2:9" ht="12">
      <c r="B90" s="350"/>
      <c r="C90" s="350"/>
      <c r="D90" s="350"/>
      <c r="E90" s="350"/>
      <c r="F90" s="350"/>
      <c r="G90" s="350"/>
      <c r="H90" s="350"/>
      <c r="I90" s="143"/>
    </row>
    <row r="91" spans="2:9" ht="12">
      <c r="B91" s="350"/>
      <c r="C91" s="350"/>
      <c r="D91" s="350"/>
      <c r="E91" s="350"/>
      <c r="F91" s="350"/>
      <c r="G91" s="350"/>
      <c r="H91" s="350"/>
      <c r="I91" s="143"/>
    </row>
    <row r="92" spans="2:9" ht="12">
      <c r="B92" s="350"/>
      <c r="C92" s="350"/>
      <c r="D92" s="350"/>
      <c r="E92" s="350"/>
      <c r="F92" s="350"/>
      <c r="G92" s="350"/>
      <c r="H92" s="350"/>
      <c r="I92" s="143"/>
    </row>
    <row r="93" spans="2:9" ht="12">
      <c r="B93" s="343"/>
      <c r="C93" s="346"/>
      <c r="D93" s="346"/>
      <c r="E93" s="346"/>
      <c r="F93" s="346"/>
      <c r="G93" s="346"/>
      <c r="H93" s="346"/>
      <c r="I93" s="310"/>
    </row>
    <row r="94" spans="2:9" ht="12">
      <c r="B94" s="343"/>
      <c r="C94" s="346"/>
      <c r="D94" s="346"/>
      <c r="E94" s="346"/>
      <c r="F94" s="346"/>
      <c r="G94" s="346"/>
      <c r="H94" s="346"/>
      <c r="I94" s="310"/>
    </row>
    <row r="95" spans="2:9" ht="12">
      <c r="B95" s="343"/>
      <c r="C95" s="314"/>
      <c r="D95" s="346"/>
      <c r="E95" s="346"/>
      <c r="F95" s="314"/>
      <c r="G95" s="314"/>
      <c r="H95" s="314"/>
      <c r="I95" s="312"/>
    </row>
    <row r="96" spans="3:9" ht="15" customHeight="1">
      <c r="C96" s="342" t="str">
        <f>+ENTE!D10</f>
        <v>ING. ENRIQUE DE ECHAVARRI LARY</v>
      </c>
      <c r="D96" s="310"/>
      <c r="E96" s="310"/>
      <c r="F96" s="731" t="str">
        <f>+ENTE!D14</f>
        <v>LIC. RICARDO SALVADOR BACA MUÑOZ</v>
      </c>
      <c r="G96" s="731"/>
      <c r="H96" s="731"/>
      <c r="I96" s="731"/>
    </row>
    <row r="97" spans="3:9" ht="15" customHeight="1">
      <c r="C97" s="342" t="str">
        <f>+ENTE!D12</f>
        <v>COORDINADOR GENERAL </v>
      </c>
      <c r="D97" s="310"/>
      <c r="E97" s="310"/>
      <c r="F97" s="730" t="str">
        <f>+ENTE!D16</f>
        <v>DIRECTOR DE ADMINISTRACION</v>
      </c>
      <c r="G97" s="730"/>
      <c r="H97" s="730"/>
      <c r="I97" s="730"/>
    </row>
    <row r="98" spans="4:9" ht="12">
      <c r="D98" s="143"/>
      <c r="E98" s="143"/>
      <c r="F98" s="143"/>
      <c r="G98" s="143"/>
      <c r="H98" s="143"/>
      <c r="I98" s="144"/>
    </row>
  </sheetData>
  <sheetProtection sheet="1" objects="1" scenarios="1" selectLockedCells="1"/>
  <mergeCells count="23">
    <mergeCell ref="I9:I10"/>
    <mergeCell ref="B5:I5"/>
    <mergeCell ref="B40:C40"/>
    <mergeCell ref="B50:C50"/>
    <mergeCell ref="B60:C60"/>
    <mergeCell ref="B20:C20"/>
    <mergeCell ref="B12:C12"/>
    <mergeCell ref="F97:I97"/>
    <mergeCell ref="B76:C76"/>
    <mergeCell ref="B86:I86"/>
    <mergeCell ref="B2:I2"/>
    <mergeCell ref="B3:I3"/>
    <mergeCell ref="B4:I4"/>
    <mergeCell ref="B6:I6"/>
    <mergeCell ref="C7:I7"/>
    <mergeCell ref="B9:C11"/>
    <mergeCell ref="D9:H9"/>
    <mergeCell ref="B64:C64"/>
    <mergeCell ref="B30:C30"/>
    <mergeCell ref="B72:C72"/>
    <mergeCell ref="B85:H85"/>
    <mergeCell ref="B87:H87"/>
    <mergeCell ref="F96:I96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portrait" scale="59" r:id="rId1"/>
  <headerFooter>
    <oddFooter>&amp;C&amp;A&amp;RPágina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9"/>
  <sheetViews>
    <sheetView view="pageBreakPreview" zoomScale="80" zoomScaleNormal="80" zoomScaleSheetLayoutView="80" zoomScalePageLayoutView="0" workbookViewId="0" topLeftCell="A1">
      <selection activeCell="B2" sqref="B2:I2"/>
    </sheetView>
  </sheetViews>
  <sheetFormatPr defaultColWidth="11.421875" defaultRowHeight="15"/>
  <cols>
    <col min="1" max="1" width="3.140625" style="200" customWidth="1"/>
    <col min="2" max="2" width="25.8515625" style="276" customWidth="1"/>
    <col min="3" max="3" width="39.00390625" style="276" customWidth="1"/>
    <col min="4" max="4" width="17.8515625" style="202" customWidth="1"/>
    <col min="5" max="5" width="17.140625" style="202" customWidth="1"/>
    <col min="6" max="6" width="15.00390625" style="202" customWidth="1"/>
    <col min="7" max="7" width="17.00390625" style="202" customWidth="1"/>
    <col min="8" max="8" width="14.8515625" style="202" customWidth="1"/>
    <col min="9" max="9" width="13.8515625" style="202" customWidth="1"/>
    <col min="10" max="10" width="3.28125" style="200" customWidth="1"/>
    <col min="11" max="16384" width="11.421875" style="202" customWidth="1"/>
  </cols>
  <sheetData>
    <row r="1" spans="2:9" ht="12">
      <c r="B1" s="277"/>
      <c r="C1" s="277"/>
      <c r="D1" s="201"/>
      <c r="E1" s="201"/>
      <c r="F1" s="201"/>
      <c r="G1" s="201"/>
      <c r="H1" s="201"/>
      <c r="I1" s="201"/>
    </row>
    <row r="2" spans="2:9" ht="12">
      <c r="B2" s="677"/>
      <c r="C2" s="677"/>
      <c r="D2" s="677"/>
      <c r="E2" s="677"/>
      <c r="F2" s="677"/>
      <c r="G2" s="677"/>
      <c r="H2" s="677"/>
      <c r="I2" s="677"/>
    </row>
    <row r="3" spans="2:9" ht="12">
      <c r="B3" s="696" t="s">
        <v>629</v>
      </c>
      <c r="C3" s="696"/>
      <c r="D3" s="696"/>
      <c r="E3" s="696"/>
      <c r="F3" s="696"/>
      <c r="G3" s="696"/>
      <c r="H3" s="696"/>
      <c r="I3" s="696"/>
    </row>
    <row r="4" spans="2:9" ht="12">
      <c r="B4" s="746" t="s">
        <v>630</v>
      </c>
      <c r="C4" s="746"/>
      <c r="D4" s="746"/>
      <c r="E4" s="746"/>
      <c r="F4" s="746"/>
      <c r="G4" s="746"/>
      <c r="H4" s="746"/>
      <c r="I4" s="746"/>
    </row>
    <row r="5" spans="2:9" ht="12">
      <c r="B5" s="746" t="str">
        <f>"Del 1 de enero al "&amp;TEXT(INDEX(Periodos,ENTE!D18,1),"dd")&amp;" de "&amp;TEXT(INDEX(Periodos,ENTE!D18,1),"mmmm")&amp;" de "&amp;TEXT(INDEX(Periodos,ENTE!D18,1),"aaaa")&amp;""</f>
        <v>Del 1 de enero al 30 de septiembre de 2017</v>
      </c>
      <c r="C5" s="746"/>
      <c r="D5" s="746"/>
      <c r="E5" s="746"/>
      <c r="F5" s="746"/>
      <c r="G5" s="746"/>
      <c r="H5" s="746"/>
      <c r="I5" s="746"/>
    </row>
    <row r="6" spans="2:9" ht="12">
      <c r="B6" s="746" t="s">
        <v>92</v>
      </c>
      <c r="C6" s="746"/>
      <c r="D6" s="746"/>
      <c r="E6" s="746"/>
      <c r="F6" s="746"/>
      <c r="G6" s="746"/>
      <c r="H6" s="746"/>
      <c r="I6" s="746"/>
    </row>
    <row r="7" spans="2:9" ht="12">
      <c r="B7" s="399"/>
      <c r="C7" s="399"/>
      <c r="D7" s="23"/>
      <c r="E7" s="23"/>
      <c r="F7" s="23"/>
      <c r="G7" s="23"/>
      <c r="H7" s="23"/>
      <c r="I7" s="23"/>
    </row>
    <row r="8" spans="2:10" ht="12">
      <c r="B8" s="353" t="s">
        <v>4</v>
      </c>
      <c r="C8" s="709" t="str">
        <f>+ENTE!D8</f>
        <v>UNIDAD DE SERVICIOS PARA LA EDUCACION BASICA EN EL ESTADO DE QUERETARO</v>
      </c>
      <c r="D8" s="709"/>
      <c r="E8" s="709"/>
      <c r="F8" s="709"/>
      <c r="G8" s="709"/>
      <c r="H8" s="709"/>
      <c r="I8" s="272"/>
      <c r="J8" s="273"/>
    </row>
    <row r="9" spans="2:9" ht="12">
      <c r="B9" s="400"/>
      <c r="C9" s="400"/>
      <c r="D9" s="401"/>
      <c r="E9" s="401"/>
      <c r="F9" s="401"/>
      <c r="G9" s="401"/>
      <c r="H9" s="401"/>
      <c r="I9" s="401"/>
    </row>
    <row r="10" spans="2:9" ht="12">
      <c r="B10" s="747" t="s">
        <v>392</v>
      </c>
      <c r="C10" s="748"/>
      <c r="D10" s="742" t="s">
        <v>493</v>
      </c>
      <c r="E10" s="743"/>
      <c r="F10" s="743"/>
      <c r="G10" s="743"/>
      <c r="H10" s="743"/>
      <c r="I10" s="744" t="s">
        <v>636</v>
      </c>
    </row>
    <row r="11" spans="2:9" ht="27" customHeight="1">
      <c r="B11" s="749"/>
      <c r="C11" s="750"/>
      <c r="D11" s="402" t="s">
        <v>494</v>
      </c>
      <c r="E11" s="402" t="s">
        <v>244</v>
      </c>
      <c r="F11" s="357" t="s">
        <v>220</v>
      </c>
      <c r="G11" s="403" t="s">
        <v>221</v>
      </c>
      <c r="H11" s="403" t="s">
        <v>245</v>
      </c>
      <c r="I11" s="745"/>
    </row>
    <row r="12" spans="2:9" ht="12">
      <c r="B12" s="404"/>
      <c r="C12" s="400"/>
      <c r="D12" s="405"/>
      <c r="E12" s="405"/>
      <c r="F12" s="406"/>
      <c r="G12" s="407"/>
      <c r="H12" s="407"/>
      <c r="I12" s="407"/>
    </row>
    <row r="13" spans="2:9" ht="24">
      <c r="B13" s="408" t="s">
        <v>495</v>
      </c>
      <c r="C13" s="409"/>
      <c r="D13" s="410">
        <f>+D14+D22+D32+D42+D52+D62+D66+D74+D78</f>
        <v>2000000</v>
      </c>
      <c r="E13" s="410">
        <f>+E14+E22+E32+E42+E52+E62+E66+E74+E78</f>
        <v>220084.96000000002</v>
      </c>
      <c r="F13" s="411">
        <f>+F14+F22+F32+F42+F52+F62+F66+F74+F78</f>
        <v>2220084.96</v>
      </c>
      <c r="G13" s="412">
        <f>+G14+G22+G32+G42+G52+G62+G66+G74+G78</f>
        <v>1189329.4300000002</v>
      </c>
      <c r="H13" s="412">
        <f>+H14+H22+H32+H42+H52+H62+H66+H74+H78</f>
        <v>1189329.4300000002</v>
      </c>
      <c r="I13" s="412">
        <f>+F13-G13</f>
        <v>1030755.5299999998</v>
      </c>
    </row>
    <row r="14" spans="1:10" s="364" customFormat="1" ht="12">
      <c r="A14" s="305"/>
      <c r="B14" s="736" t="s">
        <v>496</v>
      </c>
      <c r="C14" s="737"/>
      <c r="D14" s="413">
        <f>SUM(D15:D21)</f>
        <v>1000000</v>
      </c>
      <c r="E14" s="413">
        <f>SUM(E15:E21)</f>
        <v>78167.83</v>
      </c>
      <c r="F14" s="414">
        <f>SUM(F15:F21)</f>
        <v>1078167.83</v>
      </c>
      <c r="G14" s="415">
        <f>SUM(G15:G21)</f>
        <v>810059.6700000002</v>
      </c>
      <c r="H14" s="414">
        <f>SUM(H15:H21)</f>
        <v>810059.6700000002</v>
      </c>
      <c r="I14" s="415">
        <f aca="true" t="shared" si="0" ref="I14:I46">+F14-G14</f>
        <v>268108.1599999999</v>
      </c>
      <c r="J14" s="305"/>
    </row>
    <row r="15" spans="2:9" ht="12">
      <c r="B15" s="416" t="s">
        <v>497</v>
      </c>
      <c r="C15" s="417"/>
      <c r="D15" s="418">
        <f>-SCOG!D12</f>
        <v>0</v>
      </c>
      <c r="E15" s="418">
        <f>-SCOG!F12</f>
        <v>0</v>
      </c>
      <c r="F15" s="419">
        <f aca="true" t="shared" si="1" ref="F15:F21">+D15+E15</f>
        <v>0</v>
      </c>
      <c r="G15" s="420">
        <f>+SCOG!H12+SCOG!I12+SCOG!J12</f>
        <v>0</v>
      </c>
      <c r="H15" s="419">
        <f>SCOG!J12</f>
        <v>0</v>
      </c>
      <c r="I15" s="421">
        <f t="shared" si="0"/>
        <v>0</v>
      </c>
    </row>
    <row r="16" spans="2:9" ht="12">
      <c r="B16" s="416" t="s">
        <v>498</v>
      </c>
      <c r="C16" s="417"/>
      <c r="D16" s="418">
        <f>-SCOG!D13</f>
        <v>1000000</v>
      </c>
      <c r="E16" s="418">
        <f>-SCOG!F13</f>
        <v>78167.83</v>
      </c>
      <c r="F16" s="419">
        <f t="shared" si="1"/>
        <v>1078167.83</v>
      </c>
      <c r="G16" s="420">
        <f>+SCOG!H13+SCOG!I13+SCOG!J13</f>
        <v>810059.6700000002</v>
      </c>
      <c r="H16" s="419">
        <f>SCOG!J13</f>
        <v>810059.6700000002</v>
      </c>
      <c r="I16" s="421">
        <f t="shared" si="0"/>
        <v>268108.1599999999</v>
      </c>
    </row>
    <row r="17" spans="2:9" ht="12">
      <c r="B17" s="416" t="s">
        <v>499</v>
      </c>
      <c r="C17" s="417"/>
      <c r="D17" s="418">
        <f>-SCOG!D14</f>
        <v>0</v>
      </c>
      <c r="E17" s="418">
        <f>-SCOG!F14</f>
        <v>0</v>
      </c>
      <c r="F17" s="419">
        <f t="shared" si="1"/>
        <v>0</v>
      </c>
      <c r="G17" s="420">
        <f>+SCOG!H14+SCOG!I14+SCOG!J14</f>
        <v>0</v>
      </c>
      <c r="H17" s="419">
        <f>SCOG!J14</f>
        <v>0</v>
      </c>
      <c r="I17" s="421">
        <f t="shared" si="0"/>
        <v>0</v>
      </c>
    </row>
    <row r="18" spans="2:9" ht="12">
      <c r="B18" s="416" t="s">
        <v>500</v>
      </c>
      <c r="C18" s="417"/>
      <c r="D18" s="418">
        <f>-SCOG!D15</f>
        <v>0</v>
      </c>
      <c r="E18" s="418">
        <f>-SCOG!F15</f>
        <v>0</v>
      </c>
      <c r="F18" s="419">
        <f t="shared" si="1"/>
        <v>0</v>
      </c>
      <c r="G18" s="420">
        <f>+SCOG!H15+SCOG!I15+SCOG!J15</f>
        <v>0</v>
      </c>
      <c r="H18" s="419">
        <f>SCOG!J15</f>
        <v>0</v>
      </c>
      <c r="I18" s="421">
        <f t="shared" si="0"/>
        <v>0</v>
      </c>
    </row>
    <row r="19" spans="2:9" ht="12">
      <c r="B19" s="416" t="s">
        <v>501</v>
      </c>
      <c r="C19" s="417"/>
      <c r="D19" s="418">
        <f>-SCOG!D16</f>
        <v>0</v>
      </c>
      <c r="E19" s="418">
        <f>-SCOG!F16</f>
        <v>0</v>
      </c>
      <c r="F19" s="419">
        <f t="shared" si="1"/>
        <v>0</v>
      </c>
      <c r="G19" s="420">
        <f>+SCOG!H16+SCOG!I16+SCOG!J16</f>
        <v>0</v>
      </c>
      <c r="H19" s="419">
        <f>SCOG!J16</f>
        <v>0</v>
      </c>
      <c r="I19" s="421">
        <f t="shared" si="0"/>
        <v>0</v>
      </c>
    </row>
    <row r="20" spans="2:9" ht="12">
      <c r="B20" s="422" t="s">
        <v>502</v>
      </c>
      <c r="C20" s="423"/>
      <c r="D20" s="418">
        <f>-SCOG!D17</f>
        <v>0</v>
      </c>
      <c r="E20" s="418">
        <f>-SCOG!F17</f>
        <v>0</v>
      </c>
      <c r="F20" s="419">
        <f t="shared" si="1"/>
        <v>0</v>
      </c>
      <c r="G20" s="420">
        <f>+SCOG!H17+SCOG!I17+SCOG!J17</f>
        <v>0</v>
      </c>
      <c r="H20" s="419">
        <f>SCOG!J17</f>
        <v>0</v>
      </c>
      <c r="I20" s="421">
        <f t="shared" si="0"/>
        <v>0</v>
      </c>
    </row>
    <row r="21" spans="2:9" ht="12">
      <c r="B21" s="416" t="s">
        <v>503</v>
      </c>
      <c r="C21" s="417"/>
      <c r="D21" s="418">
        <f>-SCOG!D18</f>
        <v>0</v>
      </c>
      <c r="E21" s="418">
        <f>-SCOG!F18</f>
        <v>0</v>
      </c>
      <c r="F21" s="419">
        <f t="shared" si="1"/>
        <v>0</v>
      </c>
      <c r="G21" s="420">
        <f>+SCOG!H18+SCOG!I18+SCOG!J18</f>
        <v>0</v>
      </c>
      <c r="H21" s="419">
        <f>SCOG!J18</f>
        <v>0</v>
      </c>
      <c r="I21" s="421">
        <f t="shared" si="0"/>
        <v>0</v>
      </c>
    </row>
    <row r="22" spans="1:10" s="361" customFormat="1" ht="12">
      <c r="A22" s="305"/>
      <c r="B22" s="424" t="s">
        <v>504</v>
      </c>
      <c r="C22" s="425"/>
      <c r="D22" s="413">
        <f>SUM(D23:D31)</f>
        <v>0</v>
      </c>
      <c r="E22" s="413">
        <f>SUM(E23:E31)</f>
        <v>0</v>
      </c>
      <c r="F22" s="414">
        <f>SUM(F23:F31)</f>
        <v>0</v>
      </c>
      <c r="G22" s="415">
        <f>SUM(G23:G31)</f>
        <v>0</v>
      </c>
      <c r="H22" s="414">
        <f>SUM(H23:H31)</f>
        <v>0</v>
      </c>
      <c r="I22" s="415">
        <f>+F22-G22</f>
        <v>0</v>
      </c>
      <c r="J22" s="305"/>
    </row>
    <row r="23" spans="2:9" ht="12">
      <c r="B23" s="416" t="s">
        <v>505</v>
      </c>
      <c r="C23" s="417"/>
      <c r="D23" s="418">
        <f>-SCOG!D19</f>
        <v>0</v>
      </c>
      <c r="E23" s="418">
        <f>-SCOG!F19</f>
        <v>0</v>
      </c>
      <c r="F23" s="419">
        <f aca="true" t="shared" si="2" ref="F23:F31">+D23+E23</f>
        <v>0</v>
      </c>
      <c r="G23" s="420">
        <f>+SCOG!H19+SCOG!I19+SCOG!J19</f>
        <v>0</v>
      </c>
      <c r="H23" s="419">
        <f>SCOG!J19</f>
        <v>0</v>
      </c>
      <c r="I23" s="421">
        <f t="shared" si="0"/>
        <v>0</v>
      </c>
    </row>
    <row r="24" spans="2:9" ht="12">
      <c r="B24" s="416" t="s">
        <v>506</v>
      </c>
      <c r="C24" s="417"/>
      <c r="D24" s="418">
        <f>-SCOG!D20</f>
        <v>0</v>
      </c>
      <c r="E24" s="418">
        <f>-SCOG!F20</f>
        <v>0</v>
      </c>
      <c r="F24" s="419">
        <f t="shared" si="2"/>
        <v>0</v>
      </c>
      <c r="G24" s="420">
        <f>+SCOG!H20+SCOG!I20+SCOG!J20</f>
        <v>0</v>
      </c>
      <c r="H24" s="419">
        <f>SCOG!J20</f>
        <v>0</v>
      </c>
      <c r="I24" s="421">
        <f t="shared" si="0"/>
        <v>0</v>
      </c>
    </row>
    <row r="25" spans="2:9" ht="12">
      <c r="B25" s="740" t="s">
        <v>507</v>
      </c>
      <c r="C25" s="741"/>
      <c r="D25" s="418">
        <f>-SCOG!D21</f>
        <v>0</v>
      </c>
      <c r="E25" s="418">
        <f>-SCOG!F21</f>
        <v>0</v>
      </c>
      <c r="F25" s="419">
        <f t="shared" si="2"/>
        <v>0</v>
      </c>
      <c r="G25" s="420">
        <f>+SCOG!H21+SCOG!I21+SCOG!J21</f>
        <v>0</v>
      </c>
      <c r="H25" s="419">
        <f>SCOG!J21</f>
        <v>0</v>
      </c>
      <c r="I25" s="421">
        <f t="shared" si="0"/>
        <v>0</v>
      </c>
    </row>
    <row r="26" spans="2:9" ht="12">
      <c r="B26" s="416" t="s">
        <v>508</v>
      </c>
      <c r="C26" s="417"/>
      <c r="D26" s="418">
        <f>-SCOG!D22</f>
        <v>0</v>
      </c>
      <c r="E26" s="418">
        <f>-SCOG!F22</f>
        <v>0</v>
      </c>
      <c r="F26" s="419">
        <f t="shared" si="2"/>
        <v>0</v>
      </c>
      <c r="G26" s="420">
        <f>+SCOG!H22+SCOG!I22+SCOG!J22</f>
        <v>0</v>
      </c>
      <c r="H26" s="419">
        <f>SCOG!J22</f>
        <v>0</v>
      </c>
      <c r="I26" s="421">
        <f t="shared" si="0"/>
        <v>0</v>
      </c>
    </row>
    <row r="27" spans="2:9" ht="12">
      <c r="B27" s="740" t="s">
        <v>509</v>
      </c>
      <c r="C27" s="741"/>
      <c r="D27" s="418">
        <f>-SCOG!D23</f>
        <v>0</v>
      </c>
      <c r="E27" s="418">
        <f>-SCOG!F23</f>
        <v>0</v>
      </c>
      <c r="F27" s="419">
        <f t="shared" si="2"/>
        <v>0</v>
      </c>
      <c r="G27" s="420">
        <f>+SCOG!H23+SCOG!I23+SCOG!J23</f>
        <v>0</v>
      </c>
      <c r="H27" s="419">
        <f>SCOG!J23</f>
        <v>0</v>
      </c>
      <c r="I27" s="421">
        <f t="shared" si="0"/>
        <v>0</v>
      </c>
    </row>
    <row r="28" spans="2:9" ht="12">
      <c r="B28" s="416" t="s">
        <v>510</v>
      </c>
      <c r="C28" s="417"/>
      <c r="D28" s="418">
        <f>-SCOG!D24</f>
        <v>0</v>
      </c>
      <c r="E28" s="418">
        <f>-SCOG!F24</f>
        <v>0</v>
      </c>
      <c r="F28" s="419">
        <f t="shared" si="2"/>
        <v>0</v>
      </c>
      <c r="G28" s="420">
        <f>+SCOG!H24+SCOG!I24+SCOG!J24</f>
        <v>0</v>
      </c>
      <c r="H28" s="419">
        <f>SCOG!J24</f>
        <v>0</v>
      </c>
      <c r="I28" s="421">
        <f t="shared" si="0"/>
        <v>0</v>
      </c>
    </row>
    <row r="29" spans="2:9" ht="12">
      <c r="B29" s="740" t="s">
        <v>511</v>
      </c>
      <c r="C29" s="741"/>
      <c r="D29" s="418">
        <f>-SCOG!D25</f>
        <v>0</v>
      </c>
      <c r="E29" s="418">
        <f>-SCOG!F25</f>
        <v>0</v>
      </c>
      <c r="F29" s="419">
        <f t="shared" si="2"/>
        <v>0</v>
      </c>
      <c r="G29" s="420">
        <f>+SCOG!H25+SCOG!I25+SCOG!J25</f>
        <v>0</v>
      </c>
      <c r="H29" s="419">
        <f>SCOG!J25</f>
        <v>0</v>
      </c>
      <c r="I29" s="421">
        <f t="shared" si="0"/>
        <v>0</v>
      </c>
    </row>
    <row r="30" spans="2:9" ht="12">
      <c r="B30" s="416" t="s">
        <v>512</v>
      </c>
      <c r="C30" s="417"/>
      <c r="D30" s="418">
        <f>-SCOG!D26</f>
        <v>0</v>
      </c>
      <c r="E30" s="418">
        <f>-SCOG!F26</f>
        <v>0</v>
      </c>
      <c r="F30" s="419">
        <f t="shared" si="2"/>
        <v>0</v>
      </c>
      <c r="G30" s="420">
        <f>+SCOG!H26+SCOG!I26+SCOG!J26</f>
        <v>0</v>
      </c>
      <c r="H30" s="419">
        <f>SCOG!J26</f>
        <v>0</v>
      </c>
      <c r="I30" s="421">
        <f t="shared" si="0"/>
        <v>0</v>
      </c>
    </row>
    <row r="31" spans="2:9" ht="12">
      <c r="B31" s="416" t="s">
        <v>513</v>
      </c>
      <c r="C31" s="417"/>
      <c r="D31" s="418">
        <f>-SCOG!D27</f>
        <v>0</v>
      </c>
      <c r="E31" s="418">
        <f>-SCOG!F27</f>
        <v>0</v>
      </c>
      <c r="F31" s="419">
        <f t="shared" si="2"/>
        <v>0</v>
      </c>
      <c r="G31" s="420">
        <f>+SCOG!H27+SCOG!I27+SCOG!J27</f>
        <v>0</v>
      </c>
      <c r="H31" s="419">
        <f>SCOG!J27</f>
        <v>0</v>
      </c>
      <c r="I31" s="421">
        <f t="shared" si="0"/>
        <v>0</v>
      </c>
    </row>
    <row r="32" spans="1:10" s="361" customFormat="1" ht="12">
      <c r="A32" s="305"/>
      <c r="B32" s="424" t="s">
        <v>514</v>
      </c>
      <c r="C32" s="425"/>
      <c r="D32" s="413">
        <f>SUM(D33:D41)</f>
        <v>500000</v>
      </c>
      <c r="E32" s="413">
        <f>SUM(E33:E41)</f>
        <v>-487733</v>
      </c>
      <c r="F32" s="414">
        <f>SUM(F33:F41)</f>
        <v>12267</v>
      </c>
      <c r="G32" s="415">
        <f>SUM(G33:G41)</f>
        <v>12267</v>
      </c>
      <c r="H32" s="414">
        <f>SUM(H33:H41)</f>
        <v>12267</v>
      </c>
      <c r="I32" s="415">
        <f t="shared" si="0"/>
        <v>0</v>
      </c>
      <c r="J32" s="305"/>
    </row>
    <row r="33" spans="2:9" ht="12">
      <c r="B33" s="416" t="s">
        <v>515</v>
      </c>
      <c r="C33" s="417"/>
      <c r="D33" s="418">
        <f>-SCOG!D28</f>
        <v>0</v>
      </c>
      <c r="E33" s="418">
        <f>-SCOG!F28</f>
        <v>0</v>
      </c>
      <c r="F33" s="419">
        <f aca="true" t="shared" si="3" ref="F33:F41">+D33+E33</f>
        <v>0</v>
      </c>
      <c r="G33" s="420">
        <f>+SCOG!H28+SCOG!I28+SCOG!J28</f>
        <v>0</v>
      </c>
      <c r="H33" s="419">
        <f>SCOG!J28</f>
        <v>0</v>
      </c>
      <c r="I33" s="421">
        <f t="shared" si="0"/>
        <v>0</v>
      </c>
    </row>
    <row r="34" spans="2:9" ht="12">
      <c r="B34" s="740" t="s">
        <v>516</v>
      </c>
      <c r="C34" s="741"/>
      <c r="D34" s="418">
        <f>-SCOG!D29</f>
        <v>0</v>
      </c>
      <c r="E34" s="418">
        <f>-SCOG!F29</f>
        <v>0</v>
      </c>
      <c r="F34" s="419">
        <f t="shared" si="3"/>
        <v>0</v>
      </c>
      <c r="G34" s="420">
        <f>+SCOG!H29+SCOG!I29+SCOG!J29</f>
        <v>0</v>
      </c>
      <c r="H34" s="419">
        <f>SCOG!J29</f>
        <v>0</v>
      </c>
      <c r="I34" s="421">
        <f t="shared" si="0"/>
        <v>0</v>
      </c>
    </row>
    <row r="35" spans="2:9" ht="12">
      <c r="B35" s="416" t="s">
        <v>517</v>
      </c>
      <c r="C35" s="417"/>
      <c r="D35" s="418">
        <f>-SCOG!D30</f>
        <v>500000</v>
      </c>
      <c r="E35" s="418">
        <f>-SCOG!F30</f>
        <v>-500000</v>
      </c>
      <c r="F35" s="419">
        <f t="shared" si="3"/>
        <v>0</v>
      </c>
      <c r="G35" s="420">
        <f>+SCOG!H30+SCOG!I30+SCOG!J30</f>
        <v>0</v>
      </c>
      <c r="H35" s="419">
        <f>SCOG!J30</f>
        <v>0</v>
      </c>
      <c r="I35" s="421">
        <f t="shared" si="0"/>
        <v>0</v>
      </c>
    </row>
    <row r="36" spans="2:9" ht="12">
      <c r="B36" s="416" t="s">
        <v>518</v>
      </c>
      <c r="C36" s="417"/>
      <c r="D36" s="418">
        <f>-SCOG!D31</f>
        <v>0</v>
      </c>
      <c r="E36" s="418">
        <f>-SCOG!F31</f>
        <v>0</v>
      </c>
      <c r="F36" s="419">
        <f t="shared" si="3"/>
        <v>0</v>
      </c>
      <c r="G36" s="420">
        <f>+SCOG!H31+SCOG!I31+SCOG!J31</f>
        <v>0</v>
      </c>
      <c r="H36" s="419">
        <f>SCOG!J31</f>
        <v>0</v>
      </c>
      <c r="I36" s="421">
        <f t="shared" si="0"/>
        <v>0</v>
      </c>
    </row>
    <row r="37" spans="2:9" ht="12">
      <c r="B37" s="416" t="s">
        <v>519</v>
      </c>
      <c r="C37" s="417"/>
      <c r="D37" s="418">
        <f>-SCOG!D32</f>
        <v>0</v>
      </c>
      <c r="E37" s="418">
        <f>-SCOG!F32</f>
        <v>0</v>
      </c>
      <c r="F37" s="419">
        <f t="shared" si="3"/>
        <v>0</v>
      </c>
      <c r="G37" s="420">
        <f>+SCOG!H32+SCOG!I32+SCOG!J32</f>
        <v>0</v>
      </c>
      <c r="H37" s="419">
        <f>SCOG!J32</f>
        <v>0</v>
      </c>
      <c r="I37" s="421">
        <f t="shared" si="0"/>
        <v>0</v>
      </c>
    </row>
    <row r="38" spans="2:9" ht="12">
      <c r="B38" s="416" t="s">
        <v>520</v>
      </c>
      <c r="C38" s="417"/>
      <c r="D38" s="418">
        <f>-SCOG!D33</f>
        <v>0</v>
      </c>
      <c r="E38" s="418">
        <f>-SCOG!F33</f>
        <v>0</v>
      </c>
      <c r="F38" s="419">
        <f t="shared" si="3"/>
        <v>0</v>
      </c>
      <c r="G38" s="420">
        <f>+SCOG!H33+SCOG!I33+SCOG!J33</f>
        <v>0</v>
      </c>
      <c r="H38" s="419">
        <f>SCOG!J33</f>
        <v>0</v>
      </c>
      <c r="I38" s="421">
        <f t="shared" si="0"/>
        <v>0</v>
      </c>
    </row>
    <row r="39" spans="2:9" ht="12">
      <c r="B39" s="416" t="s">
        <v>521</v>
      </c>
      <c r="C39" s="417"/>
      <c r="D39" s="418">
        <f>-SCOG!D34</f>
        <v>0</v>
      </c>
      <c r="E39" s="418">
        <f>-SCOG!F34</f>
        <v>0</v>
      </c>
      <c r="F39" s="419">
        <f t="shared" si="3"/>
        <v>0</v>
      </c>
      <c r="G39" s="420">
        <f>+SCOG!H34+SCOG!I34+SCOG!J34</f>
        <v>0</v>
      </c>
      <c r="H39" s="419">
        <f>SCOG!J34</f>
        <v>0</v>
      </c>
      <c r="I39" s="421">
        <f t="shared" si="0"/>
        <v>0</v>
      </c>
    </row>
    <row r="40" spans="2:9" ht="12">
      <c r="B40" s="416" t="s">
        <v>522</v>
      </c>
      <c r="C40" s="417"/>
      <c r="D40" s="418">
        <f>-SCOG!D35</f>
        <v>0</v>
      </c>
      <c r="E40" s="418">
        <f>-SCOG!F35</f>
        <v>0</v>
      </c>
      <c r="F40" s="419">
        <f t="shared" si="3"/>
        <v>0</v>
      </c>
      <c r="G40" s="420">
        <f>+SCOG!H35+SCOG!I35+SCOG!J35</f>
        <v>0</v>
      </c>
      <c r="H40" s="419">
        <f>SCOG!J35</f>
        <v>0</v>
      </c>
      <c r="I40" s="421">
        <f t="shared" si="0"/>
        <v>0</v>
      </c>
    </row>
    <row r="41" spans="2:9" ht="12">
      <c r="B41" s="416" t="s">
        <v>523</v>
      </c>
      <c r="C41" s="417"/>
      <c r="D41" s="418">
        <f>-SCOG!D36</f>
        <v>0</v>
      </c>
      <c r="E41" s="418">
        <f>-SCOG!F36</f>
        <v>12267</v>
      </c>
      <c r="F41" s="419">
        <f t="shared" si="3"/>
        <v>12267</v>
      </c>
      <c r="G41" s="420">
        <f>+SCOG!H36+SCOG!I36+SCOG!J36</f>
        <v>12267</v>
      </c>
      <c r="H41" s="419">
        <f>SCOG!J36</f>
        <v>12267</v>
      </c>
      <c r="I41" s="421">
        <f t="shared" si="0"/>
        <v>0</v>
      </c>
    </row>
    <row r="42" spans="1:10" s="361" customFormat="1" ht="24" customHeight="1">
      <c r="A42" s="305"/>
      <c r="B42" s="736" t="s">
        <v>642</v>
      </c>
      <c r="C42" s="737"/>
      <c r="D42" s="426">
        <f>+D43+D44+D45+D46+D47+D48+D49+D50+D51</f>
        <v>0</v>
      </c>
      <c r="E42" s="426">
        <f>+E43+E44+E45+E46+E47+E48+E49+E50+E51</f>
        <v>0</v>
      </c>
      <c r="F42" s="427">
        <f>+F43+F44+F45+F46+F47+F48+F49+F50+F51</f>
        <v>0</v>
      </c>
      <c r="G42" s="427">
        <f>+G43+G44+G45+G46+G47+G48+G49+G50+G51</f>
        <v>0</v>
      </c>
      <c r="H42" s="427">
        <f>+H43+H44+H45+H46+H47+H48+H49+H50+H51</f>
        <v>0</v>
      </c>
      <c r="I42" s="415">
        <f>+F42-G42</f>
        <v>0</v>
      </c>
      <c r="J42" s="305"/>
    </row>
    <row r="43" spans="2:9" ht="12">
      <c r="B43" s="416" t="s">
        <v>524</v>
      </c>
      <c r="C43" s="417"/>
      <c r="D43" s="418">
        <f>-SCOG!D37</f>
        <v>0</v>
      </c>
      <c r="E43" s="418">
        <f>-SCOG!F37</f>
        <v>0</v>
      </c>
      <c r="F43" s="419">
        <f aca="true" t="shared" si="4" ref="F43:F51">+D43+E43</f>
        <v>0</v>
      </c>
      <c r="G43" s="420">
        <f>+SCOG!H37+SCOG!I37+SCOG!J37</f>
        <v>0</v>
      </c>
      <c r="H43" s="419">
        <f>SCOG!J37</f>
        <v>0</v>
      </c>
      <c r="I43" s="421">
        <f t="shared" si="0"/>
        <v>0</v>
      </c>
    </row>
    <row r="44" spans="2:9" ht="12">
      <c r="B44" s="416" t="s">
        <v>525</v>
      </c>
      <c r="C44" s="417"/>
      <c r="D44" s="418">
        <f>-SCOG!D38</f>
        <v>0</v>
      </c>
      <c r="E44" s="418">
        <f>-SCOG!F38</f>
        <v>0</v>
      </c>
      <c r="F44" s="419">
        <f t="shared" si="4"/>
        <v>0</v>
      </c>
      <c r="G44" s="420">
        <f>+SCOG!H38+SCOG!I38+SCOG!J38</f>
        <v>0</v>
      </c>
      <c r="H44" s="419">
        <f>SCOG!J38</f>
        <v>0</v>
      </c>
      <c r="I44" s="421">
        <f t="shared" si="0"/>
        <v>0</v>
      </c>
    </row>
    <row r="45" spans="2:9" ht="12">
      <c r="B45" s="416" t="s">
        <v>526</v>
      </c>
      <c r="C45" s="417"/>
      <c r="D45" s="418">
        <f>-SCOG!D39</f>
        <v>0</v>
      </c>
      <c r="E45" s="418">
        <f>-SCOG!F39</f>
        <v>0</v>
      </c>
      <c r="F45" s="419">
        <f t="shared" si="4"/>
        <v>0</v>
      </c>
      <c r="G45" s="420">
        <f>+SCOG!H39+SCOG!I39+SCOG!J39</f>
        <v>0</v>
      </c>
      <c r="H45" s="419">
        <f>SCOG!J39</f>
        <v>0</v>
      </c>
      <c r="I45" s="421">
        <f t="shared" si="0"/>
        <v>0</v>
      </c>
    </row>
    <row r="46" spans="2:9" ht="12">
      <c r="B46" s="416" t="s">
        <v>527</v>
      </c>
      <c r="C46" s="417"/>
      <c r="D46" s="418">
        <f>-SCOG!D40</f>
        <v>0</v>
      </c>
      <c r="E46" s="418">
        <f>-SCOG!F40</f>
        <v>0</v>
      </c>
      <c r="F46" s="419">
        <f t="shared" si="4"/>
        <v>0</v>
      </c>
      <c r="G46" s="420">
        <f>+SCOG!H40+SCOG!I40+SCOG!J40</f>
        <v>0</v>
      </c>
      <c r="H46" s="419">
        <f>SCOG!J40</f>
        <v>0</v>
      </c>
      <c r="I46" s="421">
        <f t="shared" si="0"/>
        <v>0</v>
      </c>
    </row>
    <row r="47" spans="2:9" ht="12">
      <c r="B47" s="416" t="s">
        <v>528</v>
      </c>
      <c r="C47" s="417"/>
      <c r="D47" s="418">
        <f>-SCOG!D41</f>
        <v>0</v>
      </c>
      <c r="E47" s="418">
        <f>-SCOG!F41</f>
        <v>0</v>
      </c>
      <c r="F47" s="419">
        <f t="shared" si="4"/>
        <v>0</v>
      </c>
      <c r="G47" s="420">
        <f>+SCOG!H41+SCOG!I41+SCOG!J41</f>
        <v>0</v>
      </c>
      <c r="H47" s="419">
        <f>SCOG!J41</f>
        <v>0</v>
      </c>
      <c r="I47" s="421">
        <f aca="true" t="shared" si="5" ref="I47:I85">+F47-G47</f>
        <v>0</v>
      </c>
    </row>
    <row r="48" spans="2:9" ht="12">
      <c r="B48" s="416" t="s">
        <v>529</v>
      </c>
      <c r="C48" s="417"/>
      <c r="D48" s="418">
        <f>-SCOG!D42</f>
        <v>0</v>
      </c>
      <c r="E48" s="418">
        <f>-SCOG!F42</f>
        <v>0</v>
      </c>
      <c r="F48" s="419">
        <f t="shared" si="4"/>
        <v>0</v>
      </c>
      <c r="G48" s="420">
        <f>+SCOG!H42+SCOG!I42+SCOG!J42</f>
        <v>0</v>
      </c>
      <c r="H48" s="419">
        <f>SCOG!J42</f>
        <v>0</v>
      </c>
      <c r="I48" s="421">
        <f t="shared" si="5"/>
        <v>0</v>
      </c>
    </row>
    <row r="49" spans="2:9" ht="12">
      <c r="B49" s="416" t="s">
        <v>530</v>
      </c>
      <c r="C49" s="417"/>
      <c r="D49" s="418">
        <f>-SCOG!D43</f>
        <v>0</v>
      </c>
      <c r="E49" s="418">
        <f>-SCOG!F43</f>
        <v>0</v>
      </c>
      <c r="F49" s="419">
        <f t="shared" si="4"/>
        <v>0</v>
      </c>
      <c r="G49" s="420">
        <f>+SCOG!H43+SCOG!I43+SCOG!J43</f>
        <v>0</v>
      </c>
      <c r="H49" s="419">
        <f>SCOG!J43</f>
        <v>0</v>
      </c>
      <c r="I49" s="421">
        <f t="shared" si="5"/>
        <v>0</v>
      </c>
    </row>
    <row r="50" spans="2:9" ht="12">
      <c r="B50" s="416" t="s">
        <v>531</v>
      </c>
      <c r="C50" s="417"/>
      <c r="D50" s="418">
        <f>-SCOG!D44</f>
        <v>0</v>
      </c>
      <c r="E50" s="418">
        <f>-SCOG!F44</f>
        <v>0</v>
      </c>
      <c r="F50" s="419">
        <f t="shared" si="4"/>
        <v>0</v>
      </c>
      <c r="G50" s="420">
        <f>+SCOG!H44+SCOG!I44+SCOG!J44</f>
        <v>0</v>
      </c>
      <c r="H50" s="419">
        <f>SCOG!J44</f>
        <v>0</v>
      </c>
      <c r="I50" s="421">
        <f t="shared" si="5"/>
        <v>0</v>
      </c>
    </row>
    <row r="51" spans="2:9" ht="12">
      <c r="B51" s="416" t="s">
        <v>532</v>
      </c>
      <c r="C51" s="417"/>
      <c r="D51" s="418">
        <f>-SCOG!D45</f>
        <v>0</v>
      </c>
      <c r="E51" s="418">
        <f>-SCOG!F45</f>
        <v>0</v>
      </c>
      <c r="F51" s="419">
        <f t="shared" si="4"/>
        <v>0</v>
      </c>
      <c r="G51" s="420">
        <f>+SCOG!H45+SCOG!I45+SCOG!J45</f>
        <v>0</v>
      </c>
      <c r="H51" s="419">
        <f>SCOG!J45</f>
        <v>0</v>
      </c>
      <c r="I51" s="421">
        <f t="shared" si="5"/>
        <v>0</v>
      </c>
    </row>
    <row r="52" spans="1:10" s="361" customFormat="1" ht="12">
      <c r="A52" s="305"/>
      <c r="B52" s="424" t="s">
        <v>643</v>
      </c>
      <c r="C52" s="425"/>
      <c r="D52" s="429">
        <f>SUM(D53:D61)</f>
        <v>500000</v>
      </c>
      <c r="E52" s="429">
        <f>SUM(E53:E61)</f>
        <v>629650.13</v>
      </c>
      <c r="F52" s="430">
        <f>SUM(F53:F61)</f>
        <v>1129650.13</v>
      </c>
      <c r="G52" s="431">
        <f>SUM(G53:G61)</f>
        <v>367002.76</v>
      </c>
      <c r="H52" s="430">
        <f>SUM(H53:H61)</f>
        <v>367002.76</v>
      </c>
      <c r="I52" s="415">
        <f t="shared" si="5"/>
        <v>762647.3699999999</v>
      </c>
      <c r="J52" s="305"/>
    </row>
    <row r="53" spans="2:9" ht="12">
      <c r="B53" s="740" t="s">
        <v>533</v>
      </c>
      <c r="C53" s="741"/>
      <c r="D53" s="418">
        <f>-SCOG!D46</f>
        <v>500000</v>
      </c>
      <c r="E53" s="418">
        <f>-SCOG!F46</f>
        <v>-127841.87</v>
      </c>
      <c r="F53" s="419">
        <f aca="true" t="shared" si="6" ref="F53:F61">+D53+E53</f>
        <v>372158.13</v>
      </c>
      <c r="G53" s="420">
        <f>+SCOG!H46+SCOG!I46+SCOG!J46</f>
        <v>367002.76</v>
      </c>
      <c r="H53" s="419">
        <f>SCOG!J46</f>
        <v>367002.76</v>
      </c>
      <c r="I53" s="421">
        <f t="shared" si="5"/>
        <v>5155.369999999995</v>
      </c>
    </row>
    <row r="54" spans="2:9" ht="12">
      <c r="B54" s="416" t="s">
        <v>534</v>
      </c>
      <c r="C54" s="417"/>
      <c r="D54" s="418">
        <f>-SCOG!D47</f>
        <v>0</v>
      </c>
      <c r="E54" s="418">
        <f>-SCOG!F47</f>
        <v>0</v>
      </c>
      <c r="F54" s="419">
        <f t="shared" si="6"/>
        <v>0</v>
      </c>
      <c r="G54" s="420">
        <f>+SCOG!H47+SCOG!I47+SCOG!J47</f>
        <v>0</v>
      </c>
      <c r="H54" s="419">
        <f>SCOG!J47</f>
        <v>0</v>
      </c>
      <c r="I54" s="421">
        <f t="shared" si="5"/>
        <v>0</v>
      </c>
    </row>
    <row r="55" spans="2:9" ht="12">
      <c r="B55" s="416" t="s">
        <v>535</v>
      </c>
      <c r="C55" s="417"/>
      <c r="D55" s="418">
        <f>-SCOG!D48</f>
        <v>0</v>
      </c>
      <c r="E55" s="418">
        <f>-SCOG!F48</f>
        <v>0</v>
      </c>
      <c r="F55" s="419">
        <f t="shared" si="6"/>
        <v>0</v>
      </c>
      <c r="G55" s="420">
        <f>+SCOG!H48+SCOG!I48+SCOG!J48</f>
        <v>0</v>
      </c>
      <c r="H55" s="419">
        <f>SCOG!J48</f>
        <v>0</v>
      </c>
      <c r="I55" s="421">
        <f t="shared" si="5"/>
        <v>0</v>
      </c>
    </row>
    <row r="56" spans="2:9" ht="12">
      <c r="B56" s="740" t="s">
        <v>536</v>
      </c>
      <c r="C56" s="741"/>
      <c r="D56" s="418">
        <f>-SCOG!D49</f>
        <v>0</v>
      </c>
      <c r="E56" s="418">
        <f>-SCOG!F49</f>
        <v>730000</v>
      </c>
      <c r="F56" s="419">
        <f t="shared" si="6"/>
        <v>730000</v>
      </c>
      <c r="G56" s="420">
        <f>+SCOG!H49+SCOG!I49+SCOG!J49</f>
        <v>0</v>
      </c>
      <c r="H56" s="419">
        <f>SCOG!J49</f>
        <v>0</v>
      </c>
      <c r="I56" s="421">
        <f t="shared" si="5"/>
        <v>730000</v>
      </c>
    </row>
    <row r="57" spans="2:9" ht="12">
      <c r="B57" s="740" t="s">
        <v>537</v>
      </c>
      <c r="C57" s="741"/>
      <c r="D57" s="418">
        <f>-SCOG!D50</f>
        <v>0</v>
      </c>
      <c r="E57" s="418">
        <f>-SCOG!F50</f>
        <v>0</v>
      </c>
      <c r="F57" s="419">
        <f t="shared" si="6"/>
        <v>0</v>
      </c>
      <c r="G57" s="420">
        <f>+SCOG!H50+SCOG!I50+SCOG!J50</f>
        <v>0</v>
      </c>
      <c r="H57" s="419">
        <f>SCOG!J50</f>
        <v>0</v>
      </c>
      <c r="I57" s="421">
        <f t="shared" si="5"/>
        <v>0</v>
      </c>
    </row>
    <row r="58" spans="2:9" ht="12">
      <c r="B58" s="740" t="s">
        <v>538</v>
      </c>
      <c r="C58" s="741"/>
      <c r="D58" s="418">
        <f>-SCOG!D51</f>
        <v>0</v>
      </c>
      <c r="E58" s="418">
        <f>-SCOG!F51</f>
        <v>27492</v>
      </c>
      <c r="F58" s="419">
        <f t="shared" si="6"/>
        <v>27492</v>
      </c>
      <c r="G58" s="420">
        <f>+SCOG!H51+SCOG!I51+SCOG!J51</f>
        <v>0</v>
      </c>
      <c r="H58" s="419">
        <f>SCOG!J51</f>
        <v>0</v>
      </c>
      <c r="I58" s="421">
        <f t="shared" si="5"/>
        <v>27492</v>
      </c>
    </row>
    <row r="59" spans="2:9" ht="12">
      <c r="B59" s="422" t="s">
        <v>539</v>
      </c>
      <c r="C59" s="423"/>
      <c r="D59" s="418">
        <f>-SCOG!D52</f>
        <v>0</v>
      </c>
      <c r="E59" s="418">
        <f>-SCOG!F52</f>
        <v>0</v>
      </c>
      <c r="F59" s="419">
        <f t="shared" si="6"/>
        <v>0</v>
      </c>
      <c r="G59" s="420">
        <f>+SCOG!H52+SCOG!I52+SCOG!J52</f>
        <v>0</v>
      </c>
      <c r="H59" s="419">
        <f>SCOG!J52</f>
        <v>0</v>
      </c>
      <c r="I59" s="421">
        <f t="shared" si="5"/>
        <v>0</v>
      </c>
    </row>
    <row r="60" spans="2:9" ht="12">
      <c r="B60" s="416" t="s">
        <v>540</v>
      </c>
      <c r="C60" s="417"/>
      <c r="D60" s="418">
        <f>-SCOG!D53</f>
        <v>0</v>
      </c>
      <c r="E60" s="418">
        <f>-SCOG!F53</f>
        <v>0</v>
      </c>
      <c r="F60" s="419">
        <f t="shared" si="6"/>
        <v>0</v>
      </c>
      <c r="G60" s="420">
        <f>+SCOG!H53+SCOG!I53+SCOG!J53</f>
        <v>0</v>
      </c>
      <c r="H60" s="419">
        <f>SCOG!J53</f>
        <v>0</v>
      </c>
      <c r="I60" s="421">
        <f t="shared" si="5"/>
        <v>0</v>
      </c>
    </row>
    <row r="61" spans="2:9" ht="12">
      <c r="B61" s="416" t="s">
        <v>541</v>
      </c>
      <c r="C61" s="417"/>
      <c r="D61" s="418">
        <f>-SCOG!D54</f>
        <v>0</v>
      </c>
      <c r="E61" s="418">
        <f>-SCOG!F54</f>
        <v>0</v>
      </c>
      <c r="F61" s="419">
        <f t="shared" si="6"/>
        <v>0</v>
      </c>
      <c r="G61" s="420">
        <f>+SCOG!H54+SCOG!I54+SCOG!J54</f>
        <v>0</v>
      </c>
      <c r="H61" s="419">
        <f>SCOG!J54</f>
        <v>0</v>
      </c>
      <c r="I61" s="421">
        <f t="shared" si="5"/>
        <v>0</v>
      </c>
    </row>
    <row r="62" spans="1:10" s="361" customFormat="1" ht="12">
      <c r="A62" s="305"/>
      <c r="B62" s="424" t="s">
        <v>542</v>
      </c>
      <c r="C62" s="425"/>
      <c r="D62" s="413">
        <f>SUM(D63:D65)</f>
        <v>0</v>
      </c>
      <c r="E62" s="413">
        <f>SUM(E63:E65)</f>
        <v>0</v>
      </c>
      <c r="F62" s="414">
        <f>SUM(F63:F65)</f>
        <v>0</v>
      </c>
      <c r="G62" s="415">
        <f>SUM(G63:G65)</f>
        <v>0</v>
      </c>
      <c r="H62" s="414">
        <f>SUM(H63:H65)</f>
        <v>0</v>
      </c>
      <c r="I62" s="415">
        <f t="shared" si="5"/>
        <v>0</v>
      </c>
      <c r="J62" s="305"/>
    </row>
    <row r="63" spans="2:9" ht="12">
      <c r="B63" s="416" t="s">
        <v>543</v>
      </c>
      <c r="C63" s="417"/>
      <c r="D63" s="418">
        <f>-SCOG!D55</f>
        <v>0</v>
      </c>
      <c r="E63" s="418">
        <f>-SCOG!F55</f>
        <v>0</v>
      </c>
      <c r="F63" s="419">
        <f>+D63+E63</f>
        <v>0</v>
      </c>
      <c r="G63" s="420">
        <f>+SCOG!H55+SCOG!I55+SCOG!J55</f>
        <v>0</v>
      </c>
      <c r="H63" s="419">
        <f>SCOG!J55</f>
        <v>0</v>
      </c>
      <c r="I63" s="421">
        <f t="shared" si="5"/>
        <v>0</v>
      </c>
    </row>
    <row r="64" spans="2:9" ht="12">
      <c r="B64" s="740" t="s">
        <v>544</v>
      </c>
      <c r="C64" s="741"/>
      <c r="D64" s="418">
        <f>-SCOG!D56</f>
        <v>0</v>
      </c>
      <c r="E64" s="418">
        <f>-SCOG!F56</f>
        <v>0</v>
      </c>
      <c r="F64" s="419">
        <f>+D64+E64</f>
        <v>0</v>
      </c>
      <c r="G64" s="420">
        <f>+SCOG!H56+SCOG!I56+SCOG!J56</f>
        <v>0</v>
      </c>
      <c r="H64" s="419">
        <f>SCOG!J56</f>
        <v>0</v>
      </c>
      <c r="I64" s="421">
        <f t="shared" si="5"/>
        <v>0</v>
      </c>
    </row>
    <row r="65" spans="2:9" ht="12">
      <c r="B65" s="740" t="s">
        <v>545</v>
      </c>
      <c r="C65" s="741"/>
      <c r="D65" s="418">
        <f>-SCOG!D57</f>
        <v>0</v>
      </c>
      <c r="E65" s="418">
        <f>-SCOG!F57</f>
        <v>0</v>
      </c>
      <c r="F65" s="419">
        <f>+D65+E65</f>
        <v>0</v>
      </c>
      <c r="G65" s="420">
        <f>+SCOG!H57+SCOG!I57+SCOG!J57</f>
        <v>0</v>
      </c>
      <c r="H65" s="419">
        <f>SCOG!J57</f>
        <v>0</v>
      </c>
      <c r="I65" s="421">
        <f t="shared" si="5"/>
        <v>0</v>
      </c>
    </row>
    <row r="66" spans="1:10" s="361" customFormat="1" ht="12">
      <c r="A66" s="305"/>
      <c r="B66" s="736" t="s">
        <v>644</v>
      </c>
      <c r="C66" s="737"/>
      <c r="D66" s="426">
        <f>SUM(D67:D73)</f>
        <v>0</v>
      </c>
      <c r="E66" s="426">
        <f>SUM(E67:E73)</f>
        <v>0</v>
      </c>
      <c r="F66" s="427">
        <f>SUM(F67:F73)</f>
        <v>0</v>
      </c>
      <c r="G66" s="428">
        <f>SUM(G67:G73)</f>
        <v>0</v>
      </c>
      <c r="H66" s="427">
        <f>SUM(H67:H73)</f>
        <v>0</v>
      </c>
      <c r="I66" s="415">
        <f t="shared" si="5"/>
        <v>0</v>
      </c>
      <c r="J66" s="305"/>
    </row>
    <row r="67" spans="2:9" ht="12">
      <c r="B67" s="416" t="s">
        <v>546</v>
      </c>
      <c r="C67" s="417"/>
      <c r="D67" s="418">
        <f>-SCOG!D58</f>
        <v>0</v>
      </c>
      <c r="E67" s="418">
        <f>-SCOG!F58</f>
        <v>0</v>
      </c>
      <c r="F67" s="419">
        <f aca="true" t="shared" si="7" ref="F67:F73">+D67+E67</f>
        <v>0</v>
      </c>
      <c r="G67" s="420">
        <f>+SCOG!H58+SCOG!I58+SCOG!J58</f>
        <v>0</v>
      </c>
      <c r="H67" s="419">
        <f>SCOG!J58</f>
        <v>0</v>
      </c>
      <c r="I67" s="421">
        <f t="shared" si="5"/>
        <v>0</v>
      </c>
    </row>
    <row r="68" spans="2:9" ht="12">
      <c r="B68" s="740" t="s">
        <v>547</v>
      </c>
      <c r="C68" s="741"/>
      <c r="D68" s="418">
        <f>-SCOG!D59</f>
        <v>0</v>
      </c>
      <c r="E68" s="418">
        <f>-SCOG!F59</f>
        <v>0</v>
      </c>
      <c r="F68" s="419">
        <f t="shared" si="7"/>
        <v>0</v>
      </c>
      <c r="G68" s="420">
        <f>+SCOG!H59+SCOG!I59+SCOG!J59</f>
        <v>0</v>
      </c>
      <c r="H68" s="419">
        <f>SCOG!J59</f>
        <v>0</v>
      </c>
      <c r="I68" s="421">
        <f t="shared" si="5"/>
        <v>0</v>
      </c>
    </row>
    <row r="69" spans="2:9" ht="12">
      <c r="B69" s="416" t="s">
        <v>548</v>
      </c>
      <c r="C69" s="417"/>
      <c r="D69" s="418">
        <f>-SCOG!D60</f>
        <v>0</v>
      </c>
      <c r="E69" s="418">
        <f>-SCOG!F60</f>
        <v>0</v>
      </c>
      <c r="F69" s="419">
        <f t="shared" si="7"/>
        <v>0</v>
      </c>
      <c r="G69" s="420">
        <f>+SCOG!H60+SCOG!I60+SCOG!J60</f>
        <v>0</v>
      </c>
      <c r="H69" s="419">
        <f>SCOG!J60</f>
        <v>0</v>
      </c>
      <c r="I69" s="421">
        <f t="shared" si="5"/>
        <v>0</v>
      </c>
    </row>
    <row r="70" spans="2:9" ht="12">
      <c r="B70" s="416" t="s">
        <v>549</v>
      </c>
      <c r="C70" s="417"/>
      <c r="D70" s="418">
        <f>-SCOG!D61</f>
        <v>0</v>
      </c>
      <c r="E70" s="418">
        <f>-SCOG!F61</f>
        <v>0</v>
      </c>
      <c r="F70" s="419">
        <f t="shared" si="7"/>
        <v>0</v>
      </c>
      <c r="G70" s="420">
        <f>+SCOG!H61+SCOG!I61+SCOG!J61</f>
        <v>0</v>
      </c>
      <c r="H70" s="419">
        <f>SCOG!J61</f>
        <v>0</v>
      </c>
      <c r="I70" s="421">
        <f t="shared" si="5"/>
        <v>0</v>
      </c>
    </row>
    <row r="71" spans="2:9" ht="24.75" customHeight="1">
      <c r="B71" s="740" t="s">
        <v>761</v>
      </c>
      <c r="C71" s="741"/>
      <c r="D71" s="418">
        <f>-SCOG!D62</f>
        <v>0</v>
      </c>
      <c r="E71" s="418">
        <f>-SCOG!F62</f>
        <v>0</v>
      </c>
      <c r="F71" s="419">
        <f t="shared" si="7"/>
        <v>0</v>
      </c>
      <c r="G71" s="420">
        <f>+SCOG!H62+SCOG!I62+SCOG!J62</f>
        <v>0</v>
      </c>
      <c r="H71" s="419">
        <f>SCOG!J62</f>
        <v>0</v>
      </c>
      <c r="I71" s="421">
        <f t="shared" si="5"/>
        <v>0</v>
      </c>
    </row>
    <row r="72" spans="2:9" ht="12">
      <c r="B72" s="416" t="s">
        <v>550</v>
      </c>
      <c r="C72" s="417"/>
      <c r="D72" s="418">
        <f>-SCOG!D63</f>
        <v>0</v>
      </c>
      <c r="E72" s="418">
        <f>-SCOG!F63</f>
        <v>0</v>
      </c>
      <c r="F72" s="419">
        <f t="shared" si="7"/>
        <v>0</v>
      </c>
      <c r="G72" s="420">
        <f>+SCOG!H63+SCOG!I63+SCOG!J63</f>
        <v>0</v>
      </c>
      <c r="H72" s="419">
        <f>SCOG!J63</f>
        <v>0</v>
      </c>
      <c r="I72" s="421">
        <f t="shared" si="5"/>
        <v>0</v>
      </c>
    </row>
    <row r="73" spans="2:9" ht="12">
      <c r="B73" s="740" t="s">
        <v>551</v>
      </c>
      <c r="C73" s="741"/>
      <c r="D73" s="418">
        <f>-SCOG!D64</f>
        <v>0</v>
      </c>
      <c r="E73" s="418">
        <f>-SCOG!F64</f>
        <v>0</v>
      </c>
      <c r="F73" s="419">
        <f t="shared" si="7"/>
        <v>0</v>
      </c>
      <c r="G73" s="420">
        <f>+SCOG!H64+SCOG!I64+SCOG!J64</f>
        <v>0</v>
      </c>
      <c r="H73" s="419">
        <f>SCOG!J64</f>
        <v>0</v>
      </c>
      <c r="I73" s="421">
        <f t="shared" si="5"/>
        <v>0</v>
      </c>
    </row>
    <row r="74" spans="1:10" s="361" customFormat="1" ht="12">
      <c r="A74" s="305"/>
      <c r="B74" s="736" t="s">
        <v>552</v>
      </c>
      <c r="C74" s="737"/>
      <c r="D74" s="432">
        <f>SUM(D75:D77)</f>
        <v>0</v>
      </c>
      <c r="E74" s="432">
        <f>SUM(E75:E77)</f>
        <v>0</v>
      </c>
      <c r="F74" s="433">
        <f>SUM(F75:F77)</f>
        <v>0</v>
      </c>
      <c r="G74" s="434">
        <f>SUM(G75:G77)</f>
        <v>0</v>
      </c>
      <c r="H74" s="433">
        <f>SUM(H75:H77)</f>
        <v>0</v>
      </c>
      <c r="I74" s="415">
        <f t="shared" si="5"/>
        <v>0</v>
      </c>
      <c r="J74" s="305"/>
    </row>
    <row r="75" spans="2:9" ht="12">
      <c r="B75" s="422" t="s">
        <v>553</v>
      </c>
      <c r="C75" s="423"/>
      <c r="D75" s="418">
        <f>-SCOG!D65</f>
        <v>0</v>
      </c>
      <c r="E75" s="418">
        <f>-SCOG!F65</f>
        <v>0</v>
      </c>
      <c r="F75" s="419">
        <f>+D75+E75</f>
        <v>0</v>
      </c>
      <c r="G75" s="420">
        <f>+SCOG!H65+SCOG!I65+SCOG!J65</f>
        <v>0</v>
      </c>
      <c r="H75" s="419">
        <f>SCOG!J65</f>
        <v>0</v>
      </c>
      <c r="I75" s="421">
        <f t="shared" si="5"/>
        <v>0</v>
      </c>
    </row>
    <row r="76" spans="2:9" ht="12">
      <c r="B76" s="416" t="s">
        <v>554</v>
      </c>
      <c r="C76" s="417"/>
      <c r="D76" s="418">
        <f>-SCOG!D66</f>
        <v>0</v>
      </c>
      <c r="E76" s="418">
        <f>-SCOG!F66</f>
        <v>0</v>
      </c>
      <c r="F76" s="419">
        <f>+D76+E76</f>
        <v>0</v>
      </c>
      <c r="G76" s="420">
        <f>+SCOG!H66+SCOG!I66+SCOG!J66</f>
        <v>0</v>
      </c>
      <c r="H76" s="419">
        <f>SCOG!J66</f>
        <v>0</v>
      </c>
      <c r="I76" s="421">
        <f t="shared" si="5"/>
        <v>0</v>
      </c>
    </row>
    <row r="77" spans="2:9" ht="12">
      <c r="B77" s="416" t="s">
        <v>555</v>
      </c>
      <c r="C77" s="417"/>
      <c r="D77" s="418">
        <f>-SCOG!D67</f>
        <v>0</v>
      </c>
      <c r="E77" s="418">
        <f>-SCOG!F67</f>
        <v>0</v>
      </c>
      <c r="F77" s="419">
        <f>+D77+E77</f>
        <v>0</v>
      </c>
      <c r="G77" s="420">
        <f>+SCOG!H67+SCOG!I67+SCOG!J67</f>
        <v>0</v>
      </c>
      <c r="H77" s="419">
        <f>SCOG!J67</f>
        <v>0</v>
      </c>
      <c r="I77" s="421">
        <f t="shared" si="5"/>
        <v>0</v>
      </c>
    </row>
    <row r="78" spans="1:10" s="361" customFormat="1" ht="12">
      <c r="A78" s="305"/>
      <c r="B78" s="424" t="s">
        <v>556</v>
      </c>
      <c r="C78" s="425"/>
      <c r="D78" s="432">
        <f>SUM(D79:D85)</f>
        <v>0</v>
      </c>
      <c r="E78" s="432">
        <f>SUM(E79:E85)</f>
        <v>0</v>
      </c>
      <c r="F78" s="433">
        <f>SUM(F79:F85)</f>
        <v>0</v>
      </c>
      <c r="G78" s="434">
        <f>SUM(G79:G85)</f>
        <v>0</v>
      </c>
      <c r="H78" s="433">
        <f>SUM(H79:H85)</f>
        <v>0</v>
      </c>
      <c r="I78" s="415">
        <f t="shared" si="5"/>
        <v>0</v>
      </c>
      <c r="J78" s="305"/>
    </row>
    <row r="79" spans="2:9" ht="12">
      <c r="B79" s="416" t="s">
        <v>557</v>
      </c>
      <c r="C79" s="417"/>
      <c r="D79" s="418">
        <f>-SCOG!D68</f>
        <v>0</v>
      </c>
      <c r="E79" s="418">
        <f>-SCOG!F68</f>
        <v>0</v>
      </c>
      <c r="F79" s="419">
        <f aca="true" t="shared" si="8" ref="F79:F85">+D79+E79</f>
        <v>0</v>
      </c>
      <c r="G79" s="420">
        <f>+SCOG!H68+SCOG!I68+SCOG!J68</f>
        <v>0</v>
      </c>
      <c r="H79" s="419">
        <f>SCOG!J68</f>
        <v>0</v>
      </c>
      <c r="I79" s="421">
        <f t="shared" si="5"/>
        <v>0</v>
      </c>
    </row>
    <row r="80" spans="2:9" ht="12">
      <c r="B80" s="416" t="s">
        <v>558</v>
      </c>
      <c r="C80" s="417"/>
      <c r="D80" s="418">
        <f>-SCOG!D69</f>
        <v>0</v>
      </c>
      <c r="E80" s="418">
        <f>-SCOG!F69</f>
        <v>0</v>
      </c>
      <c r="F80" s="419">
        <f t="shared" si="8"/>
        <v>0</v>
      </c>
      <c r="G80" s="420">
        <f>+SCOG!H69+SCOG!I69+SCOG!J69</f>
        <v>0</v>
      </c>
      <c r="H80" s="419">
        <f>SCOG!J69</f>
        <v>0</v>
      </c>
      <c r="I80" s="421">
        <f t="shared" si="5"/>
        <v>0</v>
      </c>
    </row>
    <row r="81" spans="2:9" ht="12">
      <c r="B81" s="416" t="s">
        <v>559</v>
      </c>
      <c r="C81" s="417"/>
      <c r="D81" s="418">
        <f>-SCOG!D70</f>
        <v>0</v>
      </c>
      <c r="E81" s="418">
        <f>-SCOG!F70</f>
        <v>0</v>
      </c>
      <c r="F81" s="419">
        <f t="shared" si="8"/>
        <v>0</v>
      </c>
      <c r="G81" s="420">
        <f>+SCOG!H70+SCOG!I70+SCOG!J70</f>
        <v>0</v>
      </c>
      <c r="H81" s="419">
        <f>SCOG!J70</f>
        <v>0</v>
      </c>
      <c r="I81" s="421">
        <f t="shared" si="5"/>
        <v>0</v>
      </c>
    </row>
    <row r="82" spans="2:9" ht="12">
      <c r="B82" s="416" t="s">
        <v>560</v>
      </c>
      <c r="C82" s="417"/>
      <c r="D82" s="418">
        <f>-SCOG!D71</f>
        <v>0</v>
      </c>
      <c r="E82" s="418">
        <f>-SCOG!F71</f>
        <v>0</v>
      </c>
      <c r="F82" s="419">
        <f t="shared" si="8"/>
        <v>0</v>
      </c>
      <c r="G82" s="420">
        <f>+SCOG!H71+SCOG!I71+SCOG!J71</f>
        <v>0</v>
      </c>
      <c r="H82" s="419">
        <f>SCOG!J71</f>
        <v>0</v>
      </c>
      <c r="I82" s="421">
        <f t="shared" si="5"/>
        <v>0</v>
      </c>
    </row>
    <row r="83" spans="2:9" ht="12">
      <c r="B83" s="416" t="s">
        <v>561</v>
      </c>
      <c r="C83" s="417"/>
      <c r="D83" s="418">
        <f>-SCOG!D72</f>
        <v>0</v>
      </c>
      <c r="E83" s="418">
        <f>-SCOG!F72</f>
        <v>0</v>
      </c>
      <c r="F83" s="419">
        <f t="shared" si="8"/>
        <v>0</v>
      </c>
      <c r="G83" s="420">
        <f>+SCOG!H72+SCOG!I72+SCOG!J72</f>
        <v>0</v>
      </c>
      <c r="H83" s="419">
        <f>SCOG!J72</f>
        <v>0</v>
      </c>
      <c r="I83" s="421">
        <f t="shared" si="5"/>
        <v>0</v>
      </c>
    </row>
    <row r="84" spans="2:9" ht="12">
      <c r="B84" s="416" t="s">
        <v>562</v>
      </c>
      <c r="C84" s="417"/>
      <c r="D84" s="418">
        <f>-SCOG!D73</f>
        <v>0</v>
      </c>
      <c r="E84" s="418">
        <f>-SCOG!F73</f>
        <v>0</v>
      </c>
      <c r="F84" s="419">
        <f t="shared" si="8"/>
        <v>0</v>
      </c>
      <c r="G84" s="420">
        <f>+SCOG!H73+SCOG!I73+SCOG!J73</f>
        <v>0</v>
      </c>
      <c r="H84" s="419">
        <f>SCOG!J73</f>
        <v>0</v>
      </c>
      <c r="I84" s="421">
        <f t="shared" si="5"/>
        <v>0</v>
      </c>
    </row>
    <row r="85" spans="2:9" ht="12">
      <c r="B85" s="416" t="s">
        <v>563</v>
      </c>
      <c r="C85" s="417"/>
      <c r="D85" s="418">
        <f>-SCOG!D74</f>
        <v>0</v>
      </c>
      <c r="E85" s="418">
        <f>-SCOG!F74</f>
        <v>0</v>
      </c>
      <c r="F85" s="419">
        <f t="shared" si="8"/>
        <v>0</v>
      </c>
      <c r="G85" s="420">
        <f>+SCOG!H74+SCOG!I74+SCOG!J74</f>
        <v>0</v>
      </c>
      <c r="H85" s="419">
        <f>SCOG!J74</f>
        <v>0</v>
      </c>
      <c r="I85" s="421">
        <f t="shared" si="5"/>
        <v>0</v>
      </c>
    </row>
    <row r="86" spans="2:9" ht="12">
      <c r="B86" s="435"/>
      <c r="C86" s="436"/>
      <c r="D86" s="437"/>
      <c r="E86" s="437"/>
      <c r="F86" s="438"/>
      <c r="G86" s="439"/>
      <c r="H86" s="438"/>
      <c r="I86" s="440"/>
    </row>
    <row r="87" spans="2:9" ht="12">
      <c r="B87" s="441"/>
      <c r="C87" s="441"/>
      <c r="D87" s="442"/>
      <c r="E87" s="442"/>
      <c r="F87" s="442"/>
      <c r="G87" s="442"/>
      <c r="H87" s="442"/>
      <c r="I87" s="442"/>
    </row>
    <row r="88" spans="2:9" ht="12">
      <c r="B88" s="443"/>
      <c r="C88" s="443"/>
      <c r="D88" s="444"/>
      <c r="E88" s="444"/>
      <c r="F88" s="444"/>
      <c r="G88" s="444"/>
      <c r="H88" s="444"/>
      <c r="I88" s="444"/>
    </row>
    <row r="89" spans="2:9" ht="12">
      <c r="B89" s="443"/>
      <c r="C89" s="443"/>
      <c r="D89" s="444"/>
      <c r="E89" s="444"/>
      <c r="F89" s="444"/>
      <c r="G89" s="444"/>
      <c r="H89" s="444"/>
      <c r="I89" s="444"/>
    </row>
    <row r="90" spans="2:9" ht="12">
      <c r="B90" s="425"/>
      <c r="C90" s="425"/>
      <c r="D90" s="445"/>
      <c r="E90" s="445"/>
      <c r="F90" s="445"/>
      <c r="G90" s="445"/>
      <c r="H90" s="445"/>
      <c r="I90" s="445"/>
    </row>
    <row r="91" spans="2:9" ht="12">
      <c r="B91" s="763"/>
      <c r="C91" s="763"/>
      <c r="D91" s="763"/>
      <c r="E91" s="763"/>
      <c r="F91" s="763"/>
      <c r="G91" s="763"/>
      <c r="H91" s="763"/>
      <c r="I91" s="763"/>
    </row>
    <row r="92" spans="2:9" ht="12">
      <c r="B92" s="752" t="s">
        <v>629</v>
      </c>
      <c r="C92" s="752"/>
      <c r="D92" s="752"/>
      <c r="E92" s="752"/>
      <c r="F92" s="752"/>
      <c r="G92" s="752"/>
      <c r="H92" s="752"/>
      <c r="I92" s="752"/>
    </row>
    <row r="93" spans="2:9" ht="12">
      <c r="B93" s="752" t="s">
        <v>630</v>
      </c>
      <c r="C93" s="752"/>
      <c r="D93" s="752"/>
      <c r="E93" s="752"/>
      <c r="F93" s="752"/>
      <c r="G93" s="752"/>
      <c r="H93" s="752"/>
      <c r="I93" s="752"/>
    </row>
    <row r="94" spans="2:9" ht="12">
      <c r="B94" s="752" t="str">
        <f>"Del 1 de enero al "&amp;TEXT(INDEX(Periodos,ENTE!D18,1),"dd")&amp;" de "&amp;TEXT(INDEX(Periodos,ENTE!D18,1),"mmmm")&amp;" de "&amp;TEXT(INDEX(Periodos,ENTE!D18,1),"aaaa")&amp;""</f>
        <v>Del 1 de enero al 30 de septiembre de 2017</v>
      </c>
      <c r="C94" s="752"/>
      <c r="D94" s="752"/>
      <c r="E94" s="752"/>
      <c r="F94" s="752"/>
      <c r="G94" s="752"/>
      <c r="H94" s="752"/>
      <c r="I94" s="752"/>
    </row>
    <row r="95" spans="2:9" ht="12">
      <c r="B95" s="752" t="s">
        <v>92</v>
      </c>
      <c r="C95" s="752"/>
      <c r="D95" s="752"/>
      <c r="E95" s="752"/>
      <c r="F95" s="752"/>
      <c r="G95" s="752"/>
      <c r="H95" s="752"/>
      <c r="I95" s="752"/>
    </row>
    <row r="96" spans="2:9" ht="12">
      <c r="B96" s="446"/>
      <c r="C96" s="446"/>
      <c r="D96" s="446"/>
      <c r="E96" s="446"/>
      <c r="F96" s="446"/>
      <c r="G96" s="446"/>
      <c r="H96" s="446"/>
      <c r="I96" s="446"/>
    </row>
    <row r="97" spans="2:9" ht="12">
      <c r="B97" s="363" t="s">
        <v>4</v>
      </c>
      <c r="C97" s="751" t="str">
        <f>+ENTE!D8</f>
        <v>UNIDAD DE SERVICIOS PARA LA EDUCACION BASICA EN EL ESTADO DE QUERETARO</v>
      </c>
      <c r="D97" s="751"/>
      <c r="E97" s="751"/>
      <c r="F97" s="751"/>
      <c r="G97" s="751"/>
      <c r="H97" s="751"/>
      <c r="I97" s="446"/>
    </row>
    <row r="98" spans="2:9" ht="12">
      <c r="B98" s="417"/>
      <c r="C98" s="417"/>
      <c r="D98" s="447"/>
      <c r="E98" s="447"/>
      <c r="F98" s="447"/>
      <c r="G98" s="447"/>
      <c r="H98" s="447"/>
      <c r="I98" s="447"/>
    </row>
    <row r="99" spans="2:9" ht="12">
      <c r="B99" s="757" t="s">
        <v>392</v>
      </c>
      <c r="C99" s="758"/>
      <c r="D99" s="753" t="s">
        <v>493</v>
      </c>
      <c r="E99" s="754"/>
      <c r="F99" s="754"/>
      <c r="G99" s="754"/>
      <c r="H99" s="754"/>
      <c r="I99" s="755" t="s">
        <v>636</v>
      </c>
    </row>
    <row r="100" spans="2:9" ht="24">
      <c r="B100" s="759"/>
      <c r="C100" s="760"/>
      <c r="D100" s="448" t="s">
        <v>494</v>
      </c>
      <c r="E100" s="448" t="s">
        <v>244</v>
      </c>
      <c r="F100" s="449" t="s">
        <v>220</v>
      </c>
      <c r="G100" s="450" t="s">
        <v>221</v>
      </c>
      <c r="H100" s="450" t="s">
        <v>245</v>
      </c>
      <c r="I100" s="756"/>
    </row>
    <row r="101" spans="2:9" ht="12">
      <c r="B101" s="416"/>
      <c r="C101" s="417"/>
      <c r="D101" s="451"/>
      <c r="E101" s="451"/>
      <c r="F101" s="452"/>
      <c r="G101" s="453"/>
      <c r="H101" s="453"/>
      <c r="I101" s="453"/>
    </row>
    <row r="102" spans="2:9" ht="12">
      <c r="B102" s="424" t="s">
        <v>564</v>
      </c>
      <c r="C102" s="425"/>
      <c r="D102" s="432">
        <f>+D103+D111+D121+D131+D141+D151+D155+D163+D167</f>
        <v>7000457993</v>
      </c>
      <c r="E102" s="432">
        <f>+E103+E111+E121+E131+E141+E151+E155+E163+E167</f>
        <v>156747576.23999995</v>
      </c>
      <c r="F102" s="433">
        <f>+F103+F111+F121+F131+F141+F151+F155+F163+F167</f>
        <v>7157205569.240002</v>
      </c>
      <c r="G102" s="434">
        <f>+G103+G111+G121+G131+G141+G151+G155+G163+G167</f>
        <v>3841973434.429999</v>
      </c>
      <c r="H102" s="433">
        <f>+H103+H111+H121+H131+H141+H151+H155+H163+H167</f>
        <v>709672974.3299999</v>
      </c>
      <c r="I102" s="415">
        <f>+F102-G102</f>
        <v>3315232134.810003</v>
      </c>
    </row>
    <row r="103" spans="1:10" s="361" customFormat="1" ht="12">
      <c r="A103" s="305"/>
      <c r="B103" s="738" t="s">
        <v>496</v>
      </c>
      <c r="C103" s="739"/>
      <c r="D103" s="432">
        <f>SUM(D104:D110)</f>
        <v>6558454396</v>
      </c>
      <c r="E103" s="432">
        <f>SUM(E104:E110)</f>
        <v>-86014426.68</v>
      </c>
      <c r="F103" s="433">
        <f>SUM(F104:F110)</f>
        <v>6472439969.320001</v>
      </c>
      <c r="G103" s="434">
        <f>SUM(G104:G110)</f>
        <v>3366997722.0099993</v>
      </c>
      <c r="H103" s="433">
        <f>SUM(H104:H110)</f>
        <v>255634209.60000002</v>
      </c>
      <c r="I103" s="415">
        <f aca="true" t="shared" si="9" ref="I103:I137">+F103-G103</f>
        <v>3105442247.3100014</v>
      </c>
      <c r="J103" s="305"/>
    </row>
    <row r="104" spans="2:9" ht="12">
      <c r="B104" s="416" t="s">
        <v>497</v>
      </c>
      <c r="C104" s="417"/>
      <c r="D104" s="418">
        <f>-SCOG!D76</f>
        <v>2620765754</v>
      </c>
      <c r="E104" s="418">
        <f>-SCOG!F76</f>
        <v>329970846.07</v>
      </c>
      <c r="F104" s="419">
        <f aca="true" t="shared" si="10" ref="F104:F110">+D104+E104</f>
        <v>2950736600.07</v>
      </c>
      <c r="G104" s="420">
        <f>+SCOG!H76+SCOG!I76+SCOG!J76</f>
        <v>1654665244.1399992</v>
      </c>
      <c r="H104" s="419">
        <f>SCOG!J76</f>
        <v>91358957.78</v>
      </c>
      <c r="I104" s="421">
        <f t="shared" si="9"/>
        <v>1296071355.930001</v>
      </c>
    </row>
    <row r="105" spans="2:9" ht="12">
      <c r="B105" s="416" t="s">
        <v>498</v>
      </c>
      <c r="C105" s="417"/>
      <c r="D105" s="418">
        <f>-SCOG!D77</f>
        <v>28453273</v>
      </c>
      <c r="E105" s="418">
        <f>-SCOG!F77</f>
        <v>1385687.76</v>
      </c>
      <c r="F105" s="419">
        <f t="shared" si="10"/>
        <v>29838960.76</v>
      </c>
      <c r="G105" s="420">
        <f>+SCOG!H77+SCOG!I77+SCOG!J77</f>
        <v>19879881.310000002</v>
      </c>
      <c r="H105" s="419">
        <f>SCOG!J77</f>
        <v>11529600.530000001</v>
      </c>
      <c r="I105" s="421">
        <f t="shared" si="9"/>
        <v>9959079.45</v>
      </c>
    </row>
    <row r="106" spans="2:9" ht="12">
      <c r="B106" s="416" t="s">
        <v>499</v>
      </c>
      <c r="C106" s="417"/>
      <c r="D106" s="418">
        <f>-SCOG!D78</f>
        <v>1195648038</v>
      </c>
      <c r="E106" s="418">
        <f>-SCOG!F78</f>
        <v>-143035781.98</v>
      </c>
      <c r="F106" s="419">
        <f t="shared" si="10"/>
        <v>1052612256.02</v>
      </c>
      <c r="G106" s="420">
        <f>+SCOG!H78+SCOG!I78+SCOG!J78</f>
        <v>362701726.64</v>
      </c>
      <c r="H106" s="419">
        <f>SCOG!J78</f>
        <v>67252779.81</v>
      </c>
      <c r="I106" s="421">
        <f t="shared" si="9"/>
        <v>689910529.38</v>
      </c>
    </row>
    <row r="107" spans="2:9" ht="12">
      <c r="B107" s="416" t="s">
        <v>500</v>
      </c>
      <c r="C107" s="417"/>
      <c r="D107" s="418">
        <f>-SCOG!D79</f>
        <v>521993330</v>
      </c>
      <c r="E107" s="418">
        <f>-SCOG!F79</f>
        <v>-59122821.44</v>
      </c>
      <c r="F107" s="419">
        <f t="shared" si="10"/>
        <v>462870508.56</v>
      </c>
      <c r="G107" s="420">
        <f>+SCOG!H79+SCOG!I79+SCOG!J79</f>
        <v>307246691.53000003</v>
      </c>
      <c r="H107" s="419">
        <f>SCOG!J79</f>
        <v>20204813.040000007</v>
      </c>
      <c r="I107" s="421">
        <f t="shared" si="9"/>
        <v>155623817.02999997</v>
      </c>
    </row>
    <row r="108" spans="2:9" ht="12">
      <c r="B108" s="416" t="s">
        <v>501</v>
      </c>
      <c r="C108" s="417"/>
      <c r="D108" s="418">
        <f>-SCOG!D80</f>
        <v>697406013</v>
      </c>
      <c r="E108" s="418">
        <f>-SCOG!F80</f>
        <v>-12324445.6</v>
      </c>
      <c r="F108" s="419">
        <f t="shared" si="10"/>
        <v>685081567.4</v>
      </c>
      <c r="G108" s="420">
        <f>+SCOG!H80+SCOG!I80+SCOG!J80</f>
        <v>287948037.8399999</v>
      </c>
      <c r="H108" s="419">
        <f>SCOG!J80</f>
        <v>20069730.380000003</v>
      </c>
      <c r="I108" s="421">
        <f t="shared" si="9"/>
        <v>397133529.56000006</v>
      </c>
    </row>
    <row r="109" spans="2:9" ht="12">
      <c r="B109" s="422" t="s">
        <v>502</v>
      </c>
      <c r="C109" s="423"/>
      <c r="D109" s="418">
        <f>-SCOG!D81</f>
        <v>0</v>
      </c>
      <c r="E109" s="418">
        <f>-SCOG!F81</f>
        <v>0</v>
      </c>
      <c r="F109" s="419">
        <f t="shared" si="10"/>
        <v>0</v>
      </c>
      <c r="G109" s="420">
        <f>+SCOG!H81+SCOG!I81+SCOG!J81</f>
        <v>0</v>
      </c>
      <c r="H109" s="419">
        <f>SCOG!J81</f>
        <v>0</v>
      </c>
      <c r="I109" s="421">
        <f t="shared" si="9"/>
        <v>0</v>
      </c>
    </row>
    <row r="110" spans="2:9" ht="12">
      <c r="B110" s="416" t="s">
        <v>503</v>
      </c>
      <c r="C110" s="417"/>
      <c r="D110" s="418">
        <f>-SCOG!D82</f>
        <v>1494187988</v>
      </c>
      <c r="E110" s="418">
        <f>-SCOG!F82</f>
        <v>-202887911.49</v>
      </c>
      <c r="F110" s="419">
        <f t="shared" si="10"/>
        <v>1291300076.51</v>
      </c>
      <c r="G110" s="420">
        <f>+SCOG!H82+SCOG!I82+SCOG!J82</f>
        <v>734556140.5500002</v>
      </c>
      <c r="H110" s="419">
        <f>SCOG!J82</f>
        <v>45218328.06</v>
      </c>
      <c r="I110" s="421">
        <f t="shared" si="9"/>
        <v>556743935.9599998</v>
      </c>
    </row>
    <row r="111" spans="1:10" s="361" customFormat="1" ht="12">
      <c r="A111" s="305"/>
      <c r="B111" s="736" t="s">
        <v>504</v>
      </c>
      <c r="C111" s="737"/>
      <c r="D111" s="432">
        <f>SUM(D112:D120)</f>
        <v>80249087</v>
      </c>
      <c r="E111" s="432">
        <f>SUM(E112:E120)</f>
        <v>88660154.64</v>
      </c>
      <c r="F111" s="433">
        <f>SUM(F112:F120)</f>
        <v>168909241.64000002</v>
      </c>
      <c r="G111" s="434">
        <f>SUM(G112:G120)</f>
        <v>136665773.46</v>
      </c>
      <c r="H111" s="433">
        <f>SUM(H112:H120)</f>
        <v>134089456.27</v>
      </c>
      <c r="I111" s="415">
        <f t="shared" si="9"/>
        <v>32243468.180000007</v>
      </c>
      <c r="J111" s="305"/>
    </row>
    <row r="112" spans="2:9" ht="12">
      <c r="B112" s="740" t="s">
        <v>505</v>
      </c>
      <c r="C112" s="741"/>
      <c r="D112" s="418">
        <f>-SCOG!D83</f>
        <v>19105999</v>
      </c>
      <c r="E112" s="418">
        <f>-SCOG!F83</f>
        <v>86352457.5</v>
      </c>
      <c r="F112" s="419">
        <f aca="true" t="shared" si="11" ref="F112:F120">+D112+E112</f>
        <v>105458456.5</v>
      </c>
      <c r="G112" s="420">
        <f>+SCOG!H83+SCOG!I83+SCOG!J83</f>
        <v>101238474.07000001</v>
      </c>
      <c r="H112" s="419">
        <f>SCOG!J83</f>
        <v>99330020.78</v>
      </c>
      <c r="I112" s="421">
        <f t="shared" si="9"/>
        <v>4219982.429999992</v>
      </c>
    </row>
    <row r="113" spans="2:9" ht="12">
      <c r="B113" s="422" t="s">
        <v>506</v>
      </c>
      <c r="C113" s="423"/>
      <c r="D113" s="418">
        <f>-SCOG!D84</f>
        <v>46614401</v>
      </c>
      <c r="E113" s="418">
        <f>-SCOG!F84</f>
        <v>-18243492.98</v>
      </c>
      <c r="F113" s="419">
        <f t="shared" si="11"/>
        <v>28370908.02</v>
      </c>
      <c r="G113" s="420">
        <f>+SCOG!H84+SCOG!I84+SCOG!J84</f>
        <v>4505716.3</v>
      </c>
      <c r="H113" s="419">
        <f>SCOG!J84</f>
        <v>4340429.5</v>
      </c>
      <c r="I113" s="421">
        <f t="shared" si="9"/>
        <v>23865191.72</v>
      </c>
    </row>
    <row r="114" spans="2:9" ht="12">
      <c r="B114" s="740" t="s">
        <v>565</v>
      </c>
      <c r="C114" s="741"/>
      <c r="D114" s="418">
        <f>-SCOG!D85</f>
        <v>0</v>
      </c>
      <c r="E114" s="418">
        <f>-SCOG!F85</f>
        <v>2147</v>
      </c>
      <c r="F114" s="419">
        <f t="shared" si="11"/>
        <v>2147</v>
      </c>
      <c r="G114" s="420">
        <f>+SCOG!H85+SCOG!I85+SCOG!J85</f>
        <v>2146.8</v>
      </c>
      <c r="H114" s="419">
        <f>SCOG!J85</f>
        <v>2146.8</v>
      </c>
      <c r="I114" s="421">
        <f t="shared" si="9"/>
        <v>0.1999999999998181</v>
      </c>
    </row>
    <row r="115" spans="2:9" ht="12">
      <c r="B115" s="740" t="s">
        <v>508</v>
      </c>
      <c r="C115" s="741"/>
      <c r="D115" s="418">
        <f>-SCOG!D86</f>
        <v>3794142</v>
      </c>
      <c r="E115" s="418">
        <f>-SCOG!F86</f>
        <v>1158369.48</v>
      </c>
      <c r="F115" s="419">
        <f t="shared" si="11"/>
        <v>4952511.48</v>
      </c>
      <c r="G115" s="420">
        <f>+SCOG!H86+SCOG!I86+SCOG!J86</f>
        <v>2713548.7399999998</v>
      </c>
      <c r="H115" s="419">
        <f>SCOG!J86</f>
        <v>2701058.9999999995</v>
      </c>
      <c r="I115" s="421">
        <f t="shared" si="9"/>
        <v>2238962.7400000007</v>
      </c>
    </row>
    <row r="116" spans="2:9" ht="12">
      <c r="B116" s="416" t="s">
        <v>509</v>
      </c>
      <c r="C116" s="417"/>
      <c r="D116" s="418">
        <f>-SCOG!D87</f>
        <v>186587</v>
      </c>
      <c r="E116" s="418">
        <f>-SCOG!F87</f>
        <v>-33486.54</v>
      </c>
      <c r="F116" s="419">
        <f t="shared" si="11"/>
        <v>153100.46</v>
      </c>
      <c r="G116" s="420">
        <f>+SCOG!H87+SCOG!I87+SCOG!J87</f>
        <v>136948.62</v>
      </c>
      <c r="H116" s="419">
        <f>SCOG!J87</f>
        <v>127305.66</v>
      </c>
      <c r="I116" s="421">
        <f t="shared" si="9"/>
        <v>16151.839999999997</v>
      </c>
    </row>
    <row r="117" spans="2:9" ht="12">
      <c r="B117" s="416" t="s">
        <v>510</v>
      </c>
      <c r="C117" s="417"/>
      <c r="D117" s="418">
        <f>-SCOG!D88</f>
        <v>5934626</v>
      </c>
      <c r="E117" s="418">
        <f>-SCOG!F88</f>
        <v>-242453.19</v>
      </c>
      <c r="F117" s="419">
        <f t="shared" si="11"/>
        <v>5692172.81</v>
      </c>
      <c r="G117" s="420">
        <f>+SCOG!H88+SCOG!I88+SCOG!J88</f>
        <v>4085485.6100000003</v>
      </c>
      <c r="H117" s="419">
        <f>SCOG!J88</f>
        <v>3678763.8100000005</v>
      </c>
      <c r="I117" s="421">
        <f t="shared" si="9"/>
        <v>1606687.1999999993</v>
      </c>
    </row>
    <row r="118" spans="2:9" ht="12">
      <c r="B118" s="740" t="s">
        <v>511</v>
      </c>
      <c r="C118" s="741"/>
      <c r="D118" s="418">
        <f>-SCOG!D89</f>
        <v>3998115</v>
      </c>
      <c r="E118" s="418">
        <f>-SCOG!F89</f>
        <v>20095185.12</v>
      </c>
      <c r="F118" s="419">
        <f t="shared" si="11"/>
        <v>24093300.12</v>
      </c>
      <c r="G118" s="420">
        <f>+SCOG!H89+SCOG!I89+SCOG!J89</f>
        <v>23858984.889999997</v>
      </c>
      <c r="H118" s="419">
        <f>SCOG!J89</f>
        <v>23806013.819999997</v>
      </c>
      <c r="I118" s="421">
        <f t="shared" si="9"/>
        <v>234315.23000000417</v>
      </c>
    </row>
    <row r="119" spans="2:9" ht="12">
      <c r="B119" s="416" t="s">
        <v>512</v>
      </c>
      <c r="C119" s="417"/>
      <c r="D119" s="418">
        <f>-SCOG!D90</f>
        <v>0</v>
      </c>
      <c r="E119" s="418">
        <f>-SCOG!F90</f>
        <v>0</v>
      </c>
      <c r="F119" s="419">
        <f t="shared" si="11"/>
        <v>0</v>
      </c>
      <c r="G119" s="420">
        <f>+SCOG!H90+SCOG!I90+SCOG!J90</f>
        <v>0</v>
      </c>
      <c r="H119" s="419">
        <f>SCOG!J90</f>
        <v>0</v>
      </c>
      <c r="I119" s="421">
        <f t="shared" si="9"/>
        <v>0</v>
      </c>
    </row>
    <row r="120" spans="2:9" ht="12">
      <c r="B120" s="740" t="s">
        <v>513</v>
      </c>
      <c r="C120" s="741"/>
      <c r="D120" s="418">
        <f>-SCOG!D91</f>
        <v>615217</v>
      </c>
      <c r="E120" s="418">
        <f>-SCOG!F91</f>
        <v>-428571.75</v>
      </c>
      <c r="F120" s="419">
        <f t="shared" si="11"/>
        <v>186645.25</v>
      </c>
      <c r="G120" s="420">
        <f>+SCOG!H91+SCOG!I91+SCOG!J91</f>
        <v>124468.43000000002</v>
      </c>
      <c r="H120" s="419">
        <f>SCOG!J91</f>
        <v>103716.90000000002</v>
      </c>
      <c r="I120" s="421">
        <f t="shared" si="9"/>
        <v>62176.81999999998</v>
      </c>
    </row>
    <row r="121" spans="1:10" s="361" customFormat="1" ht="12">
      <c r="A121" s="305"/>
      <c r="B121" s="736" t="s">
        <v>514</v>
      </c>
      <c r="C121" s="737"/>
      <c r="D121" s="432">
        <f>SUM(D122:D130)</f>
        <v>274477306</v>
      </c>
      <c r="E121" s="432">
        <f>SUM(E122:E130)</f>
        <v>94785015.22999999</v>
      </c>
      <c r="F121" s="433">
        <f>SUM(F122:F130)</f>
        <v>369262321.23</v>
      </c>
      <c r="G121" s="434">
        <f>SUM(G122:G130)</f>
        <v>233656829.57999998</v>
      </c>
      <c r="H121" s="433">
        <f>SUM(H122:H130)</f>
        <v>223728084.01999998</v>
      </c>
      <c r="I121" s="415">
        <f t="shared" si="9"/>
        <v>135605491.65000004</v>
      </c>
      <c r="J121" s="305"/>
    </row>
    <row r="122" spans="2:9" ht="12">
      <c r="B122" s="422" t="s">
        <v>515</v>
      </c>
      <c r="C122" s="423"/>
      <c r="D122" s="418">
        <f>-SCOG!D92</f>
        <v>39112801</v>
      </c>
      <c r="E122" s="418">
        <f>-SCOG!F92</f>
        <v>5159175.16</v>
      </c>
      <c r="F122" s="419">
        <f aca="true" t="shared" si="12" ref="F122:F130">+D122+E122</f>
        <v>44271976.16</v>
      </c>
      <c r="G122" s="420">
        <f>+SCOG!H92+SCOG!I92+SCOG!J92</f>
        <v>35469783.55000003</v>
      </c>
      <c r="H122" s="419">
        <f>SCOG!J92</f>
        <v>35140258.03000002</v>
      </c>
      <c r="I122" s="421">
        <f t="shared" si="9"/>
        <v>8802192.60999997</v>
      </c>
    </row>
    <row r="123" spans="2:9" ht="12">
      <c r="B123" s="416" t="s">
        <v>516</v>
      </c>
      <c r="C123" s="417"/>
      <c r="D123" s="418">
        <f>-SCOG!D93</f>
        <v>9650614</v>
      </c>
      <c r="E123" s="418">
        <f>-SCOG!F93</f>
        <v>7373955.97</v>
      </c>
      <c r="F123" s="419">
        <f t="shared" si="12"/>
        <v>17024569.97</v>
      </c>
      <c r="G123" s="420">
        <f>+SCOG!H93+SCOG!I93+SCOG!J93</f>
        <v>13956048.729999993</v>
      </c>
      <c r="H123" s="419">
        <f>SCOG!J93</f>
        <v>13874874.829999993</v>
      </c>
      <c r="I123" s="421">
        <f t="shared" si="9"/>
        <v>3068521.240000006</v>
      </c>
    </row>
    <row r="124" spans="2:9" ht="12">
      <c r="B124" s="740" t="s">
        <v>517</v>
      </c>
      <c r="C124" s="741"/>
      <c r="D124" s="418">
        <f>-SCOG!D94</f>
        <v>35263416</v>
      </c>
      <c r="E124" s="418">
        <f>-SCOG!F94</f>
        <v>77803951.64</v>
      </c>
      <c r="F124" s="419">
        <f t="shared" si="12"/>
        <v>113067367.64</v>
      </c>
      <c r="G124" s="420">
        <f>+SCOG!H94+SCOG!I94+SCOG!J94</f>
        <v>41712936.149999976</v>
      </c>
      <c r="H124" s="419">
        <f>SCOG!J94</f>
        <v>35404273.24999998</v>
      </c>
      <c r="I124" s="421">
        <f t="shared" si="9"/>
        <v>71354431.49000002</v>
      </c>
    </row>
    <row r="125" spans="2:9" ht="12">
      <c r="B125" s="740" t="s">
        <v>518</v>
      </c>
      <c r="C125" s="741"/>
      <c r="D125" s="418">
        <f>-SCOG!D95</f>
        <v>8965265</v>
      </c>
      <c r="E125" s="418">
        <f>-SCOG!F95</f>
        <v>-256505.82</v>
      </c>
      <c r="F125" s="419">
        <f t="shared" si="12"/>
        <v>8708759.18</v>
      </c>
      <c r="G125" s="420">
        <f>+SCOG!H95+SCOG!I95+SCOG!J95</f>
        <v>8090426.050000001</v>
      </c>
      <c r="H125" s="419">
        <f>SCOG!J95</f>
        <v>6209211.830000001</v>
      </c>
      <c r="I125" s="421">
        <f t="shared" si="9"/>
        <v>618333.129999999</v>
      </c>
    </row>
    <row r="126" spans="2:9" ht="12">
      <c r="B126" s="740" t="s">
        <v>519</v>
      </c>
      <c r="C126" s="741"/>
      <c r="D126" s="418">
        <f>-SCOG!D96</f>
        <v>17118903</v>
      </c>
      <c r="E126" s="418">
        <f>-SCOG!F96</f>
        <v>-5351774.78</v>
      </c>
      <c r="F126" s="419">
        <f t="shared" si="12"/>
        <v>11767128.219999999</v>
      </c>
      <c r="G126" s="420">
        <f>+SCOG!H96+SCOG!I96+SCOG!J96</f>
        <v>11737030.78</v>
      </c>
      <c r="H126" s="419">
        <f>SCOG!J96</f>
        <v>10881338.79</v>
      </c>
      <c r="I126" s="421">
        <f t="shared" si="9"/>
        <v>30097.43999999948</v>
      </c>
    </row>
    <row r="127" spans="2:9" ht="12">
      <c r="B127" s="416" t="s">
        <v>520</v>
      </c>
      <c r="C127" s="417"/>
      <c r="D127" s="418">
        <f>-SCOG!D97</f>
        <v>320120</v>
      </c>
      <c r="E127" s="418">
        <f>-SCOG!F97</f>
        <v>-286769.84</v>
      </c>
      <c r="F127" s="419">
        <f t="shared" si="12"/>
        <v>33350.159999999974</v>
      </c>
      <c r="G127" s="420">
        <f>+SCOG!H97+SCOG!I97+SCOG!J97</f>
        <v>33262.16</v>
      </c>
      <c r="H127" s="419">
        <f>SCOG!J97</f>
        <v>33262.16</v>
      </c>
      <c r="I127" s="421">
        <f t="shared" si="9"/>
        <v>87.9999999999709</v>
      </c>
    </row>
    <row r="128" spans="2:9" ht="12">
      <c r="B128" s="416" t="s">
        <v>521</v>
      </c>
      <c r="C128" s="417"/>
      <c r="D128" s="418">
        <f>-SCOG!D98</f>
        <v>5655333</v>
      </c>
      <c r="E128" s="418">
        <f>-SCOG!F98</f>
        <v>-2685608.4</v>
      </c>
      <c r="F128" s="419">
        <f t="shared" si="12"/>
        <v>2969724.6</v>
      </c>
      <c r="G128" s="420">
        <f>+SCOG!H98+SCOG!I98+SCOG!J98</f>
        <v>2172320.31</v>
      </c>
      <c r="H128" s="419">
        <f>SCOG!J98</f>
        <v>1982989.4</v>
      </c>
      <c r="I128" s="421">
        <f t="shared" si="9"/>
        <v>797404.29</v>
      </c>
    </row>
    <row r="129" spans="2:9" ht="12">
      <c r="B129" s="416" t="s">
        <v>522</v>
      </c>
      <c r="C129" s="417"/>
      <c r="D129" s="418">
        <f>-SCOG!D99</f>
        <v>26484373</v>
      </c>
      <c r="E129" s="418">
        <f>-SCOG!F99</f>
        <v>3310214.78</v>
      </c>
      <c r="F129" s="419">
        <f t="shared" si="12"/>
        <v>29794587.78</v>
      </c>
      <c r="G129" s="420">
        <f>+SCOG!H99+SCOG!I99+SCOG!J99</f>
        <v>24913944.17999999</v>
      </c>
      <c r="H129" s="419">
        <f>SCOG!J99</f>
        <v>24674014.93999999</v>
      </c>
      <c r="I129" s="421">
        <f t="shared" si="9"/>
        <v>4880643.600000013</v>
      </c>
    </row>
    <row r="130" spans="2:9" ht="12">
      <c r="B130" s="416" t="s">
        <v>523</v>
      </c>
      <c r="C130" s="417"/>
      <c r="D130" s="418">
        <f>-SCOG!D100</f>
        <v>131906481</v>
      </c>
      <c r="E130" s="418">
        <f>-SCOG!F100</f>
        <v>9718376.52</v>
      </c>
      <c r="F130" s="419">
        <f t="shared" si="12"/>
        <v>141624857.52</v>
      </c>
      <c r="G130" s="420">
        <f>+SCOG!H100+SCOG!I100+SCOG!J100</f>
        <v>95571077.67</v>
      </c>
      <c r="H130" s="419">
        <f>SCOG!J100</f>
        <v>95527860.79</v>
      </c>
      <c r="I130" s="421">
        <f t="shared" si="9"/>
        <v>46053779.85000001</v>
      </c>
    </row>
    <row r="131" spans="1:10" s="361" customFormat="1" ht="24" customHeight="1">
      <c r="A131" s="305"/>
      <c r="B131" s="736" t="s">
        <v>639</v>
      </c>
      <c r="C131" s="737"/>
      <c r="D131" s="427">
        <f>+D132+D133+D134+D135+D136+D137+D138+D139+D140</f>
        <v>56677374</v>
      </c>
      <c r="E131" s="427">
        <f>+E132+E133+E134+E135+E136+E137+E138+E139+E140</f>
        <v>56284932.269999996</v>
      </c>
      <c r="F131" s="427">
        <f>+F132+F133+F134+F135+F136+F137+F138+F139+F140</f>
        <v>112962306.27000001</v>
      </c>
      <c r="G131" s="427">
        <f>+G132+G133+G134+G135+G136+G137+G138+G139+G140</f>
        <v>78012995.14</v>
      </c>
      <c r="H131" s="427">
        <f>+H132+H133+H134+H135+H136+H137+H138+H139+H140</f>
        <v>77733880.66</v>
      </c>
      <c r="I131" s="415">
        <f t="shared" si="9"/>
        <v>34949311.13000001</v>
      </c>
      <c r="J131" s="305"/>
    </row>
    <row r="132" spans="2:9" ht="12">
      <c r="B132" s="740" t="s">
        <v>524</v>
      </c>
      <c r="C132" s="741"/>
      <c r="D132" s="418">
        <f>-SCOG!D101</f>
        <v>0</v>
      </c>
      <c r="E132" s="418">
        <f>-SCOG!F101</f>
        <v>0</v>
      </c>
      <c r="F132" s="419">
        <f aca="true" t="shared" si="13" ref="F132:F140">+D132+E132</f>
        <v>0</v>
      </c>
      <c r="G132" s="420">
        <f>+SCOG!H101+SCOG!I101+SCOG!J101</f>
        <v>0</v>
      </c>
      <c r="H132" s="419">
        <f>SCOG!J101</f>
        <v>0</v>
      </c>
      <c r="I132" s="421">
        <f t="shared" si="9"/>
        <v>0</v>
      </c>
    </row>
    <row r="133" spans="2:9" ht="12">
      <c r="B133" s="416" t="s">
        <v>525</v>
      </c>
      <c r="C133" s="417"/>
      <c r="D133" s="418">
        <f>-SCOG!D102</f>
        <v>0</v>
      </c>
      <c r="E133" s="418">
        <f>-SCOG!F102</f>
        <v>0</v>
      </c>
      <c r="F133" s="419">
        <f t="shared" si="13"/>
        <v>0</v>
      </c>
      <c r="G133" s="420">
        <f>+SCOG!H102+SCOG!I102+SCOG!J102</f>
        <v>0</v>
      </c>
      <c r="H133" s="419">
        <f>SCOG!J102</f>
        <v>0</v>
      </c>
      <c r="I133" s="421">
        <f t="shared" si="9"/>
        <v>0</v>
      </c>
    </row>
    <row r="134" spans="2:9" ht="12">
      <c r="B134" s="416" t="s">
        <v>526</v>
      </c>
      <c r="C134" s="417"/>
      <c r="D134" s="418">
        <f>-SCOG!D103</f>
        <v>0</v>
      </c>
      <c r="E134" s="418">
        <f>-SCOG!F103</f>
        <v>0</v>
      </c>
      <c r="F134" s="419">
        <f t="shared" si="13"/>
        <v>0</v>
      </c>
      <c r="G134" s="420">
        <f>+SCOG!H103+SCOG!I103+SCOG!J103</f>
        <v>0</v>
      </c>
      <c r="H134" s="419">
        <f>SCOG!J103</f>
        <v>0</v>
      </c>
      <c r="I134" s="421">
        <f t="shared" si="9"/>
        <v>0</v>
      </c>
    </row>
    <row r="135" spans="2:9" ht="12">
      <c r="B135" s="416" t="s">
        <v>527</v>
      </c>
      <c r="C135" s="417"/>
      <c r="D135" s="418">
        <f>-SCOG!D104</f>
        <v>50851108</v>
      </c>
      <c r="E135" s="418">
        <f>-SCOG!F104</f>
        <v>24342556.09</v>
      </c>
      <c r="F135" s="419">
        <f t="shared" si="13"/>
        <v>75193664.09</v>
      </c>
      <c r="G135" s="420">
        <f>+SCOG!H104+SCOG!I104+SCOG!J104</f>
        <v>40244352.96</v>
      </c>
      <c r="H135" s="419">
        <f>SCOG!J104</f>
        <v>39965238.480000004</v>
      </c>
      <c r="I135" s="421">
        <f t="shared" si="9"/>
        <v>34949311.13</v>
      </c>
    </row>
    <row r="136" spans="2:9" ht="12">
      <c r="B136" s="416" t="s">
        <v>528</v>
      </c>
      <c r="C136" s="417"/>
      <c r="D136" s="418">
        <f>-SCOG!D105</f>
        <v>5826266</v>
      </c>
      <c r="E136" s="418">
        <f>-SCOG!F105</f>
        <v>31942376.18</v>
      </c>
      <c r="F136" s="419">
        <f t="shared" si="13"/>
        <v>37768642.18</v>
      </c>
      <c r="G136" s="420">
        <f>+SCOG!H105+SCOG!I105+SCOG!J105</f>
        <v>37768642.18</v>
      </c>
      <c r="H136" s="419">
        <f>SCOG!J105</f>
        <v>37768642.18</v>
      </c>
      <c r="I136" s="421">
        <f t="shared" si="9"/>
        <v>0</v>
      </c>
    </row>
    <row r="137" spans="2:9" ht="12">
      <c r="B137" s="740" t="s">
        <v>529</v>
      </c>
      <c r="C137" s="741"/>
      <c r="D137" s="418">
        <f>-SCOG!D106</f>
        <v>0</v>
      </c>
      <c r="E137" s="418">
        <f>-SCOG!F106</f>
        <v>0</v>
      </c>
      <c r="F137" s="419">
        <f t="shared" si="13"/>
        <v>0</v>
      </c>
      <c r="G137" s="420">
        <f>+SCOG!H106+SCOG!I106+SCOG!J106</f>
        <v>0</v>
      </c>
      <c r="H137" s="419">
        <f>SCOG!J106</f>
        <v>0</v>
      </c>
      <c r="I137" s="421">
        <f t="shared" si="9"/>
        <v>0</v>
      </c>
    </row>
    <row r="138" spans="2:9" ht="12">
      <c r="B138" s="416" t="s">
        <v>530</v>
      </c>
      <c r="C138" s="417"/>
      <c r="D138" s="418">
        <f>-SCOG!D107</f>
        <v>0</v>
      </c>
      <c r="E138" s="418">
        <f>-SCOG!F107</f>
        <v>0</v>
      </c>
      <c r="F138" s="419">
        <f t="shared" si="13"/>
        <v>0</v>
      </c>
      <c r="G138" s="420">
        <f>+SCOG!H107+SCOG!I107+SCOG!J107</f>
        <v>0</v>
      </c>
      <c r="H138" s="419">
        <f>SCOG!J107</f>
        <v>0</v>
      </c>
      <c r="I138" s="421">
        <f>+F138-G138</f>
        <v>0</v>
      </c>
    </row>
    <row r="139" spans="2:9" ht="12">
      <c r="B139" s="416" t="s">
        <v>531</v>
      </c>
      <c r="C139" s="417"/>
      <c r="D139" s="418">
        <f>-SCOG!D108</f>
        <v>0</v>
      </c>
      <c r="E139" s="418">
        <f>-SCOG!F108</f>
        <v>0</v>
      </c>
      <c r="F139" s="419">
        <f t="shared" si="13"/>
        <v>0</v>
      </c>
      <c r="G139" s="420">
        <f>+SCOG!H108+SCOG!I108+SCOG!J108</f>
        <v>0</v>
      </c>
      <c r="H139" s="419">
        <f>SCOG!J108</f>
        <v>0</v>
      </c>
      <c r="I139" s="421">
        <f aca="true" t="shared" si="14" ref="I139:I176">+F139-G139</f>
        <v>0</v>
      </c>
    </row>
    <row r="140" spans="2:9" ht="12">
      <c r="B140" s="416" t="s">
        <v>566</v>
      </c>
      <c r="C140" s="417"/>
      <c r="D140" s="418">
        <f>-SCOG!D109</f>
        <v>0</v>
      </c>
      <c r="E140" s="418">
        <f>-SCOG!F109</f>
        <v>0</v>
      </c>
      <c r="F140" s="419">
        <f t="shared" si="13"/>
        <v>0</v>
      </c>
      <c r="G140" s="420">
        <f>+SCOG!H109+SCOG!I109+SCOG!J109</f>
        <v>0</v>
      </c>
      <c r="H140" s="419">
        <f>SCOG!J109</f>
        <v>0</v>
      </c>
      <c r="I140" s="421">
        <f t="shared" si="14"/>
        <v>0</v>
      </c>
    </row>
    <row r="141" spans="1:10" s="361" customFormat="1" ht="12">
      <c r="A141" s="305"/>
      <c r="B141" s="424" t="s">
        <v>640</v>
      </c>
      <c r="C141" s="425"/>
      <c r="D141" s="426">
        <f>SUM(D142:D150)</f>
        <v>30599830</v>
      </c>
      <c r="E141" s="426">
        <f>SUM(E142:E150)</f>
        <v>-14751703.86</v>
      </c>
      <c r="F141" s="427">
        <f>SUM(F142:F150)</f>
        <v>15848126.14</v>
      </c>
      <c r="G141" s="428">
        <f>SUM(G142:G150)</f>
        <v>9234188.49</v>
      </c>
      <c r="H141" s="427">
        <f>SUM(H142:H150)</f>
        <v>4456668.75</v>
      </c>
      <c r="I141" s="415">
        <f t="shared" si="14"/>
        <v>6613937.65</v>
      </c>
      <c r="J141" s="305"/>
    </row>
    <row r="142" spans="2:9" ht="12">
      <c r="B142" s="416" t="s">
        <v>533</v>
      </c>
      <c r="C142" s="417"/>
      <c r="D142" s="418">
        <f>-SCOG!D110</f>
        <v>793370</v>
      </c>
      <c r="E142" s="418">
        <f>-SCOG!F110</f>
        <v>8212585.46</v>
      </c>
      <c r="F142" s="419">
        <f aca="true" t="shared" si="15" ref="F142:F150">+D142+E142</f>
        <v>9005955.46</v>
      </c>
      <c r="G142" s="420">
        <f>+SCOG!H110+SCOG!I110+SCOG!J110</f>
        <v>2529476.21</v>
      </c>
      <c r="H142" s="419">
        <f>SCOG!J110</f>
        <v>1265836.5499999998</v>
      </c>
      <c r="I142" s="421">
        <f t="shared" si="14"/>
        <v>6476479.250000001</v>
      </c>
    </row>
    <row r="143" spans="2:9" ht="12">
      <c r="B143" s="416" t="s">
        <v>534</v>
      </c>
      <c r="C143" s="417"/>
      <c r="D143" s="418">
        <f>-SCOG!D111</f>
        <v>19226600</v>
      </c>
      <c r="E143" s="418">
        <f>-SCOG!F111</f>
        <v>-18982149.6</v>
      </c>
      <c r="F143" s="419">
        <f t="shared" si="15"/>
        <v>244450.3999999985</v>
      </c>
      <c r="G143" s="420">
        <f>+SCOG!H111+SCOG!I111+SCOG!J111</f>
        <v>155723</v>
      </c>
      <c r="H143" s="419">
        <f>SCOG!J111</f>
        <v>34081.92</v>
      </c>
      <c r="I143" s="421">
        <f t="shared" si="14"/>
        <v>88727.39999999851</v>
      </c>
    </row>
    <row r="144" spans="2:9" ht="12">
      <c r="B144" s="416" t="s">
        <v>535</v>
      </c>
      <c r="C144" s="417"/>
      <c r="D144" s="418">
        <f>-SCOG!D112</f>
        <v>0</v>
      </c>
      <c r="E144" s="418">
        <f>-SCOG!F112</f>
        <v>4543.72</v>
      </c>
      <c r="F144" s="419">
        <f t="shared" si="15"/>
        <v>4543.72</v>
      </c>
      <c r="G144" s="420">
        <f>+SCOG!H112+SCOG!I112+SCOG!J112</f>
        <v>4543.72</v>
      </c>
      <c r="H144" s="419">
        <f>SCOG!J112</f>
        <v>4543.72</v>
      </c>
      <c r="I144" s="421">
        <f t="shared" si="14"/>
        <v>0</v>
      </c>
    </row>
    <row r="145" spans="2:9" ht="12">
      <c r="B145" s="416" t="s">
        <v>536</v>
      </c>
      <c r="C145" s="417"/>
      <c r="D145" s="418">
        <f>-SCOG!D113</f>
        <v>280000</v>
      </c>
      <c r="E145" s="418">
        <f>-SCOG!F113</f>
        <v>-280000</v>
      </c>
      <c r="F145" s="419">
        <f t="shared" si="15"/>
        <v>0</v>
      </c>
      <c r="G145" s="420">
        <f>+SCOG!H113+SCOG!I113+SCOG!J113</f>
        <v>0</v>
      </c>
      <c r="H145" s="419">
        <f>SCOG!J113</f>
        <v>0</v>
      </c>
      <c r="I145" s="421">
        <f t="shared" si="14"/>
        <v>0</v>
      </c>
    </row>
    <row r="146" spans="2:9" ht="12">
      <c r="B146" s="416" t="s">
        <v>537</v>
      </c>
      <c r="C146" s="417"/>
      <c r="D146" s="418">
        <f>-SCOG!D114</f>
        <v>0</v>
      </c>
      <c r="E146" s="418">
        <f>-SCOG!F114</f>
        <v>0</v>
      </c>
      <c r="F146" s="419">
        <f t="shared" si="15"/>
        <v>0</v>
      </c>
      <c r="G146" s="420">
        <f>+SCOG!H114+SCOG!I114+SCOG!J114</f>
        <v>0</v>
      </c>
      <c r="H146" s="419">
        <f>SCOG!J114</f>
        <v>0</v>
      </c>
      <c r="I146" s="421">
        <f t="shared" si="14"/>
        <v>0</v>
      </c>
    </row>
    <row r="147" spans="2:9" ht="12">
      <c r="B147" s="740" t="s">
        <v>567</v>
      </c>
      <c r="C147" s="741"/>
      <c r="D147" s="418">
        <f>-SCOG!D115</f>
        <v>2849860</v>
      </c>
      <c r="E147" s="418">
        <f>-SCOG!F115</f>
        <v>-2487870</v>
      </c>
      <c r="F147" s="419">
        <f t="shared" si="15"/>
        <v>361990</v>
      </c>
      <c r="G147" s="420">
        <f>+SCOG!H115+SCOG!I115+SCOG!J115</f>
        <v>313259</v>
      </c>
      <c r="H147" s="419">
        <f>SCOG!J115</f>
        <v>35500</v>
      </c>
      <c r="I147" s="421">
        <f t="shared" si="14"/>
        <v>48731</v>
      </c>
    </row>
    <row r="148" spans="2:9" ht="12">
      <c r="B148" s="416" t="s">
        <v>539</v>
      </c>
      <c r="C148" s="417"/>
      <c r="D148" s="418">
        <f>-SCOG!D116</f>
        <v>0</v>
      </c>
      <c r="E148" s="418">
        <f>-SCOG!F116</f>
        <v>3498.56</v>
      </c>
      <c r="F148" s="419">
        <f t="shared" si="15"/>
        <v>3498.56</v>
      </c>
      <c r="G148" s="420">
        <f>+SCOG!H116+SCOG!I116+SCOG!J116</f>
        <v>3498.56</v>
      </c>
      <c r="H148" s="419">
        <f>SCOG!J116</f>
        <v>3498.56</v>
      </c>
      <c r="I148" s="421">
        <f t="shared" si="14"/>
        <v>0</v>
      </c>
    </row>
    <row r="149" spans="2:9" ht="12">
      <c r="B149" s="416" t="s">
        <v>540</v>
      </c>
      <c r="C149" s="417"/>
      <c r="D149" s="418">
        <f>-SCOG!D117</f>
        <v>0</v>
      </c>
      <c r="E149" s="418">
        <f>-SCOG!F117</f>
        <v>0</v>
      </c>
      <c r="F149" s="419">
        <f t="shared" si="15"/>
        <v>0</v>
      </c>
      <c r="G149" s="420">
        <f>+SCOG!H117+SCOG!I117+SCOG!J117</f>
        <v>0</v>
      </c>
      <c r="H149" s="419">
        <f>SCOG!J117</f>
        <v>0</v>
      </c>
      <c r="I149" s="421">
        <f t="shared" si="14"/>
        <v>0</v>
      </c>
    </row>
    <row r="150" spans="2:9" ht="12">
      <c r="B150" s="422" t="s">
        <v>541</v>
      </c>
      <c r="C150" s="423"/>
      <c r="D150" s="418">
        <f>-SCOG!D118</f>
        <v>7450000</v>
      </c>
      <c r="E150" s="418">
        <f>-SCOG!F118</f>
        <v>-1222312</v>
      </c>
      <c r="F150" s="419">
        <f t="shared" si="15"/>
        <v>6227688</v>
      </c>
      <c r="G150" s="420">
        <f>+SCOG!H118+SCOG!I118+SCOG!J118</f>
        <v>6227688</v>
      </c>
      <c r="H150" s="419">
        <f>SCOG!J118</f>
        <v>3113208</v>
      </c>
      <c r="I150" s="421">
        <f t="shared" si="14"/>
        <v>0</v>
      </c>
    </row>
    <row r="151" spans="1:10" s="361" customFormat="1" ht="12">
      <c r="A151" s="305"/>
      <c r="B151" s="454" t="s">
        <v>542</v>
      </c>
      <c r="C151" s="455"/>
      <c r="D151" s="456">
        <f>SUM(D152:D154)</f>
        <v>0</v>
      </c>
      <c r="E151" s="456">
        <f>SUM(E152:E154)</f>
        <v>0</v>
      </c>
      <c r="F151" s="457">
        <f>SUM(F152:F154)</f>
        <v>0</v>
      </c>
      <c r="G151" s="458">
        <f>SUM(G152:G154)</f>
        <v>0</v>
      </c>
      <c r="H151" s="457">
        <f>SUM(H152:H154)</f>
        <v>0</v>
      </c>
      <c r="I151" s="415">
        <f t="shared" si="14"/>
        <v>0</v>
      </c>
      <c r="J151" s="305"/>
    </row>
    <row r="152" spans="2:9" ht="12">
      <c r="B152" s="740" t="s">
        <v>543</v>
      </c>
      <c r="C152" s="741"/>
      <c r="D152" s="418">
        <f>-SCOG!D119</f>
        <v>0</v>
      </c>
      <c r="E152" s="418">
        <f>-SCOG!F119</f>
        <v>0</v>
      </c>
      <c r="F152" s="419">
        <f>+D152+E152</f>
        <v>0</v>
      </c>
      <c r="G152" s="420">
        <f>+SCOG!H119+SCOG!I119+SCOG!J119</f>
        <v>0</v>
      </c>
      <c r="H152" s="419">
        <f>SCOG!J119</f>
        <v>0</v>
      </c>
      <c r="I152" s="421">
        <f t="shared" si="14"/>
        <v>0</v>
      </c>
    </row>
    <row r="153" spans="2:9" ht="12">
      <c r="B153" s="740" t="s">
        <v>544</v>
      </c>
      <c r="C153" s="741"/>
      <c r="D153" s="418">
        <f>-SCOG!D120</f>
        <v>0</v>
      </c>
      <c r="E153" s="418">
        <f>-SCOG!F120</f>
        <v>0</v>
      </c>
      <c r="F153" s="419">
        <f>+D153+E153</f>
        <v>0</v>
      </c>
      <c r="G153" s="420">
        <f>+SCOG!H120+SCOG!I120+SCOG!J120</f>
        <v>0</v>
      </c>
      <c r="H153" s="419">
        <f>SCOG!J120</f>
        <v>0</v>
      </c>
      <c r="I153" s="421">
        <f t="shared" si="14"/>
        <v>0</v>
      </c>
    </row>
    <row r="154" spans="2:9" ht="12">
      <c r="B154" s="416" t="s">
        <v>545</v>
      </c>
      <c r="C154" s="417"/>
      <c r="D154" s="418">
        <f>-SCOG!D121</f>
        <v>0</v>
      </c>
      <c r="E154" s="418">
        <f>-SCOG!F121</f>
        <v>0</v>
      </c>
      <c r="F154" s="419">
        <f>+D154+E154</f>
        <v>0</v>
      </c>
      <c r="G154" s="420">
        <f>+SCOG!H121+SCOG!I121+SCOG!J121</f>
        <v>0</v>
      </c>
      <c r="H154" s="419">
        <f>SCOG!J121</f>
        <v>0</v>
      </c>
      <c r="I154" s="421">
        <f t="shared" si="14"/>
        <v>0</v>
      </c>
    </row>
    <row r="155" spans="1:10" s="361" customFormat="1" ht="12">
      <c r="A155" s="305"/>
      <c r="B155" s="424" t="s">
        <v>641</v>
      </c>
      <c r="C155" s="425"/>
      <c r="D155" s="426">
        <f>SUM(D156:D162)</f>
        <v>0</v>
      </c>
      <c r="E155" s="426">
        <f>SUM(E156:E162)</f>
        <v>0</v>
      </c>
      <c r="F155" s="427">
        <f>SUM(F156:F162)</f>
        <v>0</v>
      </c>
      <c r="G155" s="428">
        <f>SUM(G156:G162)</f>
        <v>0</v>
      </c>
      <c r="H155" s="427">
        <f>SUM(H156:H162)</f>
        <v>0</v>
      </c>
      <c r="I155" s="415">
        <f t="shared" si="14"/>
        <v>0</v>
      </c>
      <c r="J155" s="305"/>
    </row>
    <row r="156" spans="2:9" ht="12">
      <c r="B156" s="740" t="s">
        <v>546</v>
      </c>
      <c r="C156" s="741"/>
      <c r="D156" s="418">
        <f>-SCOG!D122</f>
        <v>0</v>
      </c>
      <c r="E156" s="418">
        <f>-SCOG!F122</f>
        <v>0</v>
      </c>
      <c r="F156" s="419">
        <f aca="true" t="shared" si="16" ref="F156:F162">+D156+E156</f>
        <v>0</v>
      </c>
      <c r="G156" s="420">
        <f>+SCOG!H122+SCOG!I122+SCOG!J122</f>
        <v>0</v>
      </c>
      <c r="H156" s="419">
        <f>SCOG!J122</f>
        <v>0</v>
      </c>
      <c r="I156" s="421">
        <f t="shared" si="14"/>
        <v>0</v>
      </c>
    </row>
    <row r="157" spans="2:9" ht="12">
      <c r="B157" s="740" t="s">
        <v>547</v>
      </c>
      <c r="C157" s="741"/>
      <c r="D157" s="418">
        <f>-SCOG!D123</f>
        <v>0</v>
      </c>
      <c r="E157" s="418">
        <f>-SCOG!F123</f>
        <v>0</v>
      </c>
      <c r="F157" s="419">
        <f t="shared" si="16"/>
        <v>0</v>
      </c>
      <c r="G157" s="420">
        <f>+SCOG!H123+SCOG!I123+SCOG!J123</f>
        <v>0</v>
      </c>
      <c r="H157" s="419">
        <f>SCOG!J123</f>
        <v>0</v>
      </c>
      <c r="I157" s="421">
        <f t="shared" si="14"/>
        <v>0</v>
      </c>
    </row>
    <row r="158" spans="2:9" ht="12">
      <c r="B158" s="740" t="s">
        <v>548</v>
      </c>
      <c r="C158" s="741"/>
      <c r="D158" s="418">
        <f>-SCOG!D124</f>
        <v>0</v>
      </c>
      <c r="E158" s="418">
        <f>-SCOG!F124</f>
        <v>0</v>
      </c>
      <c r="F158" s="419">
        <f t="shared" si="16"/>
        <v>0</v>
      </c>
      <c r="G158" s="420">
        <f>+SCOG!H124+SCOG!I124+SCOG!J124</f>
        <v>0</v>
      </c>
      <c r="H158" s="419">
        <f>SCOG!J124</f>
        <v>0</v>
      </c>
      <c r="I158" s="421">
        <f t="shared" si="14"/>
        <v>0</v>
      </c>
    </row>
    <row r="159" spans="2:9" ht="12">
      <c r="B159" s="459" t="s">
        <v>549</v>
      </c>
      <c r="C159" s="460"/>
      <c r="D159" s="405">
        <f>-SCOG!D125</f>
        <v>0</v>
      </c>
      <c r="E159" s="405">
        <f>-SCOG!F125</f>
        <v>0</v>
      </c>
      <c r="F159" s="419">
        <f t="shared" si="16"/>
        <v>0</v>
      </c>
      <c r="G159" s="420">
        <f>+SCOG!H125+SCOG!I125+SCOG!J125</f>
        <v>0</v>
      </c>
      <c r="H159" s="406">
        <f>SCOG!J125</f>
        <v>0</v>
      </c>
      <c r="I159" s="390">
        <f t="shared" si="14"/>
        <v>0</v>
      </c>
    </row>
    <row r="160" spans="2:9" ht="25.5" customHeight="1">
      <c r="B160" s="761" t="s">
        <v>761</v>
      </c>
      <c r="C160" s="762"/>
      <c r="D160" s="405">
        <f>-SCOG!D126</f>
        <v>0</v>
      </c>
      <c r="E160" s="405">
        <f>-SCOG!F126</f>
        <v>0</v>
      </c>
      <c r="F160" s="419">
        <f t="shared" si="16"/>
        <v>0</v>
      </c>
      <c r="G160" s="420">
        <f>+SCOG!H126+SCOG!I126+SCOG!J126</f>
        <v>0</v>
      </c>
      <c r="H160" s="406">
        <f>SCOG!J126</f>
        <v>0</v>
      </c>
      <c r="I160" s="390">
        <f t="shared" si="14"/>
        <v>0</v>
      </c>
    </row>
    <row r="161" spans="2:9" ht="12">
      <c r="B161" s="761" t="s">
        <v>550</v>
      </c>
      <c r="C161" s="762"/>
      <c r="D161" s="405">
        <f>-SCOG!D127</f>
        <v>0</v>
      </c>
      <c r="E161" s="405">
        <f>-SCOG!F127</f>
        <v>0</v>
      </c>
      <c r="F161" s="419">
        <f t="shared" si="16"/>
        <v>0</v>
      </c>
      <c r="G161" s="420">
        <f>+SCOG!H127+SCOG!I127+SCOG!J127</f>
        <v>0</v>
      </c>
      <c r="H161" s="406">
        <f>SCOG!J127</f>
        <v>0</v>
      </c>
      <c r="I161" s="390">
        <f t="shared" si="14"/>
        <v>0</v>
      </c>
    </row>
    <row r="162" spans="2:9" ht="12">
      <c r="B162" s="761" t="s">
        <v>551</v>
      </c>
      <c r="C162" s="762"/>
      <c r="D162" s="405">
        <f>-SCOG!D128</f>
        <v>0</v>
      </c>
      <c r="E162" s="405">
        <f>-SCOG!F128</f>
        <v>0</v>
      </c>
      <c r="F162" s="419">
        <f t="shared" si="16"/>
        <v>0</v>
      </c>
      <c r="G162" s="420">
        <f>+SCOG!H128+SCOG!I128+SCOG!J128</f>
        <v>0</v>
      </c>
      <c r="H162" s="406">
        <f>SCOG!J128</f>
        <v>0</v>
      </c>
      <c r="I162" s="390">
        <f t="shared" si="14"/>
        <v>0</v>
      </c>
    </row>
    <row r="163" spans="1:10" s="361" customFormat="1" ht="12">
      <c r="A163" s="305"/>
      <c r="B163" s="461" t="s">
        <v>552</v>
      </c>
      <c r="C163" s="462"/>
      <c r="D163" s="463">
        <f>SUM(D164:D166)</f>
        <v>0</v>
      </c>
      <c r="E163" s="463">
        <f>SUM(E164:E166)</f>
        <v>0</v>
      </c>
      <c r="F163" s="464">
        <f>SUM(F164:F166)</f>
        <v>0</v>
      </c>
      <c r="G163" s="465">
        <f>SUM(G164:G166)</f>
        <v>0</v>
      </c>
      <c r="H163" s="464">
        <f>SUM(H164:H166)</f>
        <v>0</v>
      </c>
      <c r="I163" s="412">
        <f t="shared" si="14"/>
        <v>0</v>
      </c>
      <c r="J163" s="305"/>
    </row>
    <row r="164" spans="2:9" ht="12">
      <c r="B164" s="466" t="s">
        <v>553</v>
      </c>
      <c r="C164" s="467"/>
      <c r="D164" s="405">
        <f>-SCOG!D129</f>
        <v>0</v>
      </c>
      <c r="E164" s="405">
        <f>-SCOG!F129</f>
        <v>0</v>
      </c>
      <c r="F164" s="419">
        <f>+D164+E164</f>
        <v>0</v>
      </c>
      <c r="G164" s="420">
        <f>+SCOG!H129+SCOG!I129+SCOG!J129</f>
        <v>0</v>
      </c>
      <c r="H164" s="406">
        <f>SCOG!J129</f>
        <v>0</v>
      </c>
      <c r="I164" s="390">
        <f t="shared" si="14"/>
        <v>0</v>
      </c>
    </row>
    <row r="165" spans="2:9" ht="12">
      <c r="B165" s="466" t="s">
        <v>554</v>
      </c>
      <c r="C165" s="467"/>
      <c r="D165" s="405">
        <f>-SCOG!D130</f>
        <v>0</v>
      </c>
      <c r="E165" s="405">
        <f>-SCOG!F130</f>
        <v>0</v>
      </c>
      <c r="F165" s="419">
        <f>+D165+E165</f>
        <v>0</v>
      </c>
      <c r="G165" s="420">
        <f>+SCOG!H130+SCOG!I130+SCOG!J130</f>
        <v>0</v>
      </c>
      <c r="H165" s="406">
        <f>SCOG!J130</f>
        <v>0</v>
      </c>
      <c r="I165" s="390">
        <f t="shared" si="14"/>
        <v>0</v>
      </c>
    </row>
    <row r="166" spans="2:9" ht="12">
      <c r="B166" s="466" t="s">
        <v>555</v>
      </c>
      <c r="C166" s="467"/>
      <c r="D166" s="405">
        <f>-SCOG!D131</f>
        <v>0</v>
      </c>
      <c r="E166" s="405">
        <f>-SCOG!F131</f>
        <v>0</v>
      </c>
      <c r="F166" s="419">
        <f>+D166+E166</f>
        <v>0</v>
      </c>
      <c r="G166" s="420">
        <f>+SCOG!H131+SCOG!I131+SCOG!J131</f>
        <v>0</v>
      </c>
      <c r="H166" s="406">
        <f>SCOG!J131</f>
        <v>0</v>
      </c>
      <c r="I166" s="390">
        <f t="shared" si="14"/>
        <v>0</v>
      </c>
    </row>
    <row r="167" spans="1:10" s="365" customFormat="1" ht="12">
      <c r="A167" s="320"/>
      <c r="B167" s="765" t="s">
        <v>556</v>
      </c>
      <c r="C167" s="766"/>
      <c r="D167" s="468">
        <f>SUM(D168:D174)</f>
        <v>0</v>
      </c>
      <c r="E167" s="468">
        <f>SUM(E168:E174)</f>
        <v>17783604.64</v>
      </c>
      <c r="F167" s="469">
        <f>SUM(F168:F174)</f>
        <v>17783604.64</v>
      </c>
      <c r="G167" s="470">
        <f>SUM(G168:G174)</f>
        <v>17405925.75</v>
      </c>
      <c r="H167" s="469">
        <f>SUM(H168:H174)</f>
        <v>14030675.03</v>
      </c>
      <c r="I167" s="471">
        <f t="shared" si="14"/>
        <v>377678.8900000006</v>
      </c>
      <c r="J167" s="320"/>
    </row>
    <row r="168" spans="1:10" s="276" customFormat="1" ht="12">
      <c r="A168" s="275"/>
      <c r="B168" s="761" t="s">
        <v>557</v>
      </c>
      <c r="C168" s="762"/>
      <c r="D168" s="405">
        <f>-SCOG!D132</f>
        <v>0</v>
      </c>
      <c r="E168" s="405">
        <f>-SCOG!F132</f>
        <v>0</v>
      </c>
      <c r="F168" s="419">
        <f aca="true" t="shared" si="17" ref="F168:F174">+D168+E168</f>
        <v>0</v>
      </c>
      <c r="G168" s="420">
        <f>+SCOG!H132+SCOG!I132+SCOG!J132</f>
        <v>0</v>
      </c>
      <c r="H168" s="406">
        <f>SCOG!J132</f>
        <v>0</v>
      </c>
      <c r="I168" s="472">
        <f t="shared" si="14"/>
        <v>0</v>
      </c>
      <c r="J168" s="275"/>
    </row>
    <row r="169" spans="1:10" s="276" customFormat="1" ht="12">
      <c r="A169" s="275"/>
      <c r="B169" s="761" t="s">
        <v>558</v>
      </c>
      <c r="C169" s="762"/>
      <c r="D169" s="405">
        <f>-SCOG!D133</f>
        <v>0</v>
      </c>
      <c r="E169" s="405">
        <f>-SCOG!F133</f>
        <v>0</v>
      </c>
      <c r="F169" s="419">
        <f t="shared" si="17"/>
        <v>0</v>
      </c>
      <c r="G169" s="420">
        <f>+SCOG!H133+SCOG!I133+SCOG!J133</f>
        <v>0</v>
      </c>
      <c r="H169" s="406">
        <f>SCOG!J133</f>
        <v>0</v>
      </c>
      <c r="I169" s="472">
        <f t="shared" si="14"/>
        <v>0</v>
      </c>
      <c r="J169" s="275"/>
    </row>
    <row r="170" spans="2:9" ht="12">
      <c r="B170" s="466" t="s">
        <v>559</v>
      </c>
      <c r="C170" s="467"/>
      <c r="D170" s="405">
        <f>-SCOG!D134</f>
        <v>0</v>
      </c>
      <c r="E170" s="405">
        <f>-SCOG!F134</f>
        <v>0</v>
      </c>
      <c r="F170" s="419">
        <f t="shared" si="17"/>
        <v>0</v>
      </c>
      <c r="G170" s="420">
        <f>+SCOG!H134+SCOG!I134+SCOG!J134</f>
        <v>0</v>
      </c>
      <c r="H170" s="406">
        <f>SCOG!J134</f>
        <v>0</v>
      </c>
      <c r="I170" s="390">
        <f>+F170-G170</f>
        <v>0</v>
      </c>
    </row>
    <row r="171" spans="2:9" ht="12">
      <c r="B171" s="466" t="s">
        <v>560</v>
      </c>
      <c r="C171" s="467"/>
      <c r="D171" s="405">
        <f>-SCOG!D135</f>
        <v>0</v>
      </c>
      <c r="E171" s="405">
        <f>-SCOG!F135</f>
        <v>0</v>
      </c>
      <c r="F171" s="419">
        <f t="shared" si="17"/>
        <v>0</v>
      </c>
      <c r="G171" s="420">
        <f>+SCOG!H135+SCOG!I135+SCOG!J135</f>
        <v>0</v>
      </c>
      <c r="H171" s="406">
        <f>SCOG!J135</f>
        <v>0</v>
      </c>
      <c r="I171" s="390">
        <f t="shared" si="14"/>
        <v>0</v>
      </c>
    </row>
    <row r="172" spans="2:9" ht="12">
      <c r="B172" s="466" t="s">
        <v>561</v>
      </c>
      <c r="C172" s="467"/>
      <c r="D172" s="405">
        <f>-SCOG!D136</f>
        <v>0</v>
      </c>
      <c r="E172" s="405">
        <f>-SCOG!F136</f>
        <v>0</v>
      </c>
      <c r="F172" s="419">
        <f t="shared" si="17"/>
        <v>0</v>
      </c>
      <c r="G172" s="420">
        <f>+SCOG!H136+SCOG!I136+SCOG!J136</f>
        <v>0</v>
      </c>
      <c r="H172" s="406">
        <f>SCOG!J136</f>
        <v>0</v>
      </c>
      <c r="I172" s="390">
        <f t="shared" si="14"/>
        <v>0</v>
      </c>
    </row>
    <row r="173" spans="2:9" ht="12">
      <c r="B173" s="466" t="s">
        <v>562</v>
      </c>
      <c r="C173" s="467"/>
      <c r="D173" s="405">
        <f>-SCOG!D137</f>
        <v>0</v>
      </c>
      <c r="E173" s="405">
        <f>-SCOG!F137</f>
        <v>0</v>
      </c>
      <c r="F173" s="419">
        <f t="shared" si="17"/>
        <v>0</v>
      </c>
      <c r="G173" s="420">
        <f>+SCOG!H137+SCOG!I137+SCOG!J137</f>
        <v>0</v>
      </c>
      <c r="H173" s="406">
        <f>SCOG!J137</f>
        <v>0</v>
      </c>
      <c r="I173" s="390">
        <f t="shared" si="14"/>
        <v>0</v>
      </c>
    </row>
    <row r="174" spans="2:9" ht="12">
      <c r="B174" s="466" t="s">
        <v>563</v>
      </c>
      <c r="C174" s="467"/>
      <c r="D174" s="405">
        <f>-SCOG!D138</f>
        <v>0</v>
      </c>
      <c r="E174" s="405">
        <f>-SCOG!F138</f>
        <v>17783604.64</v>
      </c>
      <c r="F174" s="419">
        <f t="shared" si="17"/>
        <v>17783604.64</v>
      </c>
      <c r="G174" s="420">
        <f>+SCOG!H138+SCOG!I138+SCOG!J138</f>
        <v>17405925.75</v>
      </c>
      <c r="H174" s="406">
        <f>SCOG!J138</f>
        <v>14030675.03</v>
      </c>
      <c r="I174" s="390">
        <f t="shared" si="14"/>
        <v>377678.8900000006</v>
      </c>
    </row>
    <row r="175" spans="2:9" ht="12">
      <c r="B175" s="466"/>
      <c r="C175" s="467"/>
      <c r="D175" s="405"/>
      <c r="E175" s="406"/>
      <c r="F175" s="407"/>
      <c r="G175" s="407"/>
      <c r="H175" s="406"/>
      <c r="I175" s="390"/>
    </row>
    <row r="176" spans="2:9" ht="12">
      <c r="B176" s="461" t="s">
        <v>568</v>
      </c>
      <c r="C176" s="462"/>
      <c r="D176" s="463">
        <f>+D13+D102</f>
        <v>7002457993</v>
      </c>
      <c r="E176" s="463">
        <f>+E13+E102</f>
        <v>156967661.19999996</v>
      </c>
      <c r="F176" s="464">
        <f>+F13+F102</f>
        <v>7159425654.200002</v>
      </c>
      <c r="G176" s="465">
        <f>+G13+G102</f>
        <v>3843162763.8599987</v>
      </c>
      <c r="H176" s="464">
        <f>+H13+H102</f>
        <v>710862303.7599999</v>
      </c>
      <c r="I176" s="412">
        <f t="shared" si="14"/>
        <v>3316262890.340003</v>
      </c>
    </row>
    <row r="177" spans="2:9" ht="12">
      <c r="B177" s="473"/>
      <c r="C177" s="474"/>
      <c r="D177" s="475"/>
      <c r="E177" s="475"/>
      <c r="F177" s="476"/>
      <c r="G177" s="477"/>
      <c r="H177" s="476"/>
      <c r="I177" s="477"/>
    </row>
    <row r="178" spans="2:10" ht="12">
      <c r="B178" s="693" t="s">
        <v>149</v>
      </c>
      <c r="C178" s="693"/>
      <c r="D178" s="693"/>
      <c r="E178" s="693"/>
      <c r="F178" s="693"/>
      <c r="G178" s="693"/>
      <c r="H178" s="693"/>
      <c r="I178" s="478"/>
      <c r="J178" s="201"/>
    </row>
    <row r="179" spans="2:10" ht="12">
      <c r="B179" s="350"/>
      <c r="C179" s="350"/>
      <c r="D179" s="350"/>
      <c r="E179" s="350"/>
      <c r="F179" s="350"/>
      <c r="G179" s="350"/>
      <c r="H179" s="350"/>
      <c r="I179" s="478"/>
      <c r="J179" s="201"/>
    </row>
    <row r="180" spans="2:10" ht="12">
      <c r="B180" s="693"/>
      <c r="C180" s="693"/>
      <c r="D180" s="693"/>
      <c r="E180" s="693"/>
      <c r="F180" s="693"/>
      <c r="G180" s="693"/>
      <c r="H180" s="693"/>
      <c r="I180" s="478"/>
      <c r="J180" s="201"/>
    </row>
    <row r="181" spans="2:10" ht="12">
      <c r="B181" s="467"/>
      <c r="C181" s="467"/>
      <c r="D181" s="478"/>
      <c r="E181" s="478"/>
      <c r="F181" s="478"/>
      <c r="G181" s="478"/>
      <c r="H181" s="478"/>
      <c r="I181" s="478"/>
      <c r="J181" s="201"/>
    </row>
    <row r="182" spans="2:10" ht="12">
      <c r="B182" s="467"/>
      <c r="C182" s="467"/>
      <c r="D182" s="478"/>
      <c r="E182" s="478"/>
      <c r="F182" s="478"/>
      <c r="G182" s="478"/>
      <c r="H182" s="478"/>
      <c r="I182" s="478"/>
      <c r="J182" s="201"/>
    </row>
    <row r="183" spans="2:10" ht="12">
      <c r="B183" s="462"/>
      <c r="C183" s="462"/>
      <c r="D183" s="479"/>
      <c r="E183" s="479"/>
      <c r="F183" s="479"/>
      <c r="G183" s="479"/>
      <c r="H183" s="479"/>
      <c r="I183" s="479"/>
      <c r="J183" s="201"/>
    </row>
    <row r="184" spans="2:10" ht="12">
      <c r="B184" s="278"/>
      <c r="C184" s="278"/>
      <c r="D184" s="274"/>
      <c r="E184" s="274"/>
      <c r="F184" s="274"/>
      <c r="G184" s="274"/>
      <c r="H184" s="274"/>
      <c r="I184" s="274"/>
      <c r="J184" s="201"/>
    </row>
    <row r="185" spans="2:10" ht="12">
      <c r="B185" s="278"/>
      <c r="C185" s="278"/>
      <c r="D185" s="274"/>
      <c r="E185" s="274"/>
      <c r="F185" s="274"/>
      <c r="G185" s="274"/>
      <c r="H185" s="274"/>
      <c r="I185" s="274"/>
      <c r="J185" s="201"/>
    </row>
    <row r="186" spans="2:9" ht="12">
      <c r="B186" s="316"/>
      <c r="C186" s="317"/>
      <c r="D186" s="318"/>
      <c r="E186" s="319"/>
      <c r="F186" s="318"/>
      <c r="G186" s="318"/>
      <c r="H186" s="318"/>
      <c r="I186" s="319"/>
    </row>
    <row r="187" spans="2:9" ht="12">
      <c r="B187" s="320"/>
      <c r="C187" s="701" t="str">
        <f>+ENTE!D10</f>
        <v>ING. ENRIQUE DE ECHAVARRI LARY</v>
      </c>
      <c r="D187" s="701"/>
      <c r="E187" s="305"/>
      <c r="F187" s="701" t="str">
        <f>+ENTE!D14</f>
        <v>LIC. RICARDO SALVADOR BACA MUÑOZ</v>
      </c>
      <c r="G187" s="701"/>
      <c r="H187" s="701"/>
      <c r="I187" s="305"/>
    </row>
    <row r="188" spans="2:9" ht="12">
      <c r="B188" s="320"/>
      <c r="C188" s="764" t="str">
        <f>+ENTE!D12</f>
        <v>COORDINADOR GENERAL </v>
      </c>
      <c r="D188" s="764"/>
      <c r="E188" s="305"/>
      <c r="F188" s="764" t="str">
        <f>+ENTE!D16</f>
        <v>DIRECTOR DE ADMINISTRACION</v>
      </c>
      <c r="G188" s="764"/>
      <c r="H188" s="764"/>
      <c r="I188" s="305"/>
    </row>
    <row r="189" spans="2:9" ht="12">
      <c r="B189" s="275"/>
      <c r="C189" s="275"/>
      <c r="D189" s="200"/>
      <c r="E189" s="200"/>
      <c r="F189" s="200"/>
      <c r="G189" s="200"/>
      <c r="H189" s="200"/>
      <c r="I189" s="200"/>
    </row>
  </sheetData>
  <sheetProtection password="88C8" sheet="1" objects="1" scenarios="1" selectLockedCells="1"/>
  <mergeCells count="67">
    <mergeCell ref="C188:D188"/>
    <mergeCell ref="F188:H188"/>
    <mergeCell ref="F187:H187"/>
    <mergeCell ref="B167:C167"/>
    <mergeCell ref="B168:C168"/>
    <mergeCell ref="B169:C169"/>
    <mergeCell ref="B180:H180"/>
    <mergeCell ref="C187:D187"/>
    <mergeCell ref="B178:H178"/>
    <mergeCell ref="B66:C66"/>
    <mergeCell ref="B118:C118"/>
    <mergeCell ref="B120:C120"/>
    <mergeCell ref="B161:C161"/>
    <mergeCell ref="B162:C162"/>
    <mergeCell ref="B160:C160"/>
    <mergeCell ref="B91:I91"/>
    <mergeCell ref="B92:I92"/>
    <mergeCell ref="B93:I93"/>
    <mergeCell ref="B94:I94"/>
    <mergeCell ref="B95:I95"/>
    <mergeCell ref="D99:H99"/>
    <mergeCell ref="I99:I100"/>
    <mergeCell ref="B158:C158"/>
    <mergeCell ref="B99:C100"/>
    <mergeCell ref="B111:C111"/>
    <mergeCell ref="B157:C157"/>
    <mergeCell ref="B115:C115"/>
    <mergeCell ref="B131:C131"/>
    <mergeCell ref="B132:C132"/>
    <mergeCell ref="B58:C58"/>
    <mergeCell ref="B64:C64"/>
    <mergeCell ref="B65:C65"/>
    <mergeCell ref="B14:C14"/>
    <mergeCell ref="B25:C25"/>
    <mergeCell ref="B27:C27"/>
    <mergeCell ref="B29:C29"/>
    <mergeCell ref="B34:C34"/>
    <mergeCell ref="B114:C114"/>
    <mergeCell ref="B42:C42"/>
    <mergeCell ref="B53:C53"/>
    <mergeCell ref="B147:C147"/>
    <mergeCell ref="B152:C152"/>
    <mergeCell ref="B153:C153"/>
    <mergeCell ref="B124:C124"/>
    <mergeCell ref="B125:C125"/>
    <mergeCell ref="B126:C126"/>
    <mergeCell ref="B137:C137"/>
    <mergeCell ref="B10:C11"/>
    <mergeCell ref="C8:H8"/>
    <mergeCell ref="B73:C73"/>
    <mergeCell ref="B74:C74"/>
    <mergeCell ref="B112:C112"/>
    <mergeCell ref="C97:H97"/>
    <mergeCell ref="B71:C71"/>
    <mergeCell ref="B68:C68"/>
    <mergeCell ref="B56:C56"/>
    <mergeCell ref="B57:C57"/>
    <mergeCell ref="B121:C121"/>
    <mergeCell ref="B103:C103"/>
    <mergeCell ref="B156:C156"/>
    <mergeCell ref="D10:H10"/>
    <mergeCell ref="I10:I11"/>
    <mergeCell ref="B2:I2"/>
    <mergeCell ref="B3:I3"/>
    <mergeCell ref="B4:I4"/>
    <mergeCell ref="B5:I5"/>
    <mergeCell ref="B6:I6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portrait" scale="61" r:id="rId2"/>
  <headerFooter>
    <oddFooter>&amp;C&amp;A&amp;RPágina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77"/>
  <sheetViews>
    <sheetView showGridLines="0" view="pageBreakPreview" zoomScale="98" zoomScaleNormal="115" zoomScaleSheetLayoutView="98" zoomScalePageLayoutView="0" workbookViewId="0" topLeftCell="A1">
      <selection activeCell="I53" sqref="I53"/>
    </sheetView>
  </sheetViews>
  <sheetFormatPr defaultColWidth="11.421875" defaultRowHeight="15"/>
  <cols>
    <col min="1" max="1" width="2.57421875" style="3" customWidth="1"/>
    <col min="2" max="2" width="11.28125" style="3" customWidth="1"/>
    <col min="3" max="3" width="77.140625" style="3" bestFit="1" customWidth="1"/>
    <col min="4" max="4" width="21.28125" style="3" bestFit="1" customWidth="1"/>
    <col min="5" max="5" width="19.8515625" style="3" bestFit="1" customWidth="1"/>
    <col min="6" max="6" width="27.7109375" style="3" customWidth="1"/>
    <col min="7" max="7" width="23.140625" style="3" customWidth="1"/>
    <col min="8" max="8" width="20.28125" style="3" customWidth="1"/>
    <col min="9" max="9" width="19.7109375" style="3" customWidth="1"/>
    <col min="10" max="10" width="20.140625" style="3" bestFit="1" customWidth="1"/>
    <col min="11" max="11" width="2.28125" style="3" customWidth="1"/>
    <col min="12" max="16384" width="11.421875" style="3" customWidth="1"/>
  </cols>
  <sheetData>
    <row r="2" spans="3:10" s="2" customFormat="1" ht="12">
      <c r="C2" s="677" t="s">
        <v>381</v>
      </c>
      <c r="D2" s="677"/>
      <c r="E2" s="677"/>
      <c r="F2" s="677"/>
      <c r="G2" s="677"/>
      <c r="H2" s="677"/>
      <c r="I2" s="281"/>
      <c r="J2" s="281"/>
    </row>
    <row r="3" spans="3:8" s="2" customFormat="1" ht="12">
      <c r="C3" s="678" t="s">
        <v>368</v>
      </c>
      <c r="D3" s="678"/>
      <c r="E3" s="678"/>
      <c r="F3" s="678"/>
      <c r="G3" s="678"/>
      <c r="H3" s="678"/>
    </row>
    <row r="4" spans="3:8" s="2" customFormat="1" ht="12">
      <c r="C4" s="678" t="str">
        <f>"Del 1 de enero al "&amp;TEXT(INDEX(Periodos,ENTE!D18,1),"dd")&amp;" de "&amp;TEXT(INDEX(Periodos,ENTE!D18,1),"mmmm")&amp;" de "&amp;TEXT(INDEX(Periodos,ENTE!D18,1),"aaaa")&amp;""</f>
        <v>Del 1 de enero al 30 de septiembre de 2017</v>
      </c>
      <c r="D4" s="678"/>
      <c r="E4" s="678"/>
      <c r="F4" s="678"/>
      <c r="G4" s="678"/>
      <c r="H4" s="678"/>
    </row>
    <row r="5" spans="3:8" s="2" customFormat="1" ht="12">
      <c r="C5" s="678" t="s">
        <v>92</v>
      </c>
      <c r="D5" s="678"/>
      <c r="E5" s="678"/>
      <c r="F5" s="678"/>
      <c r="G5" s="678"/>
      <c r="H5" s="678"/>
    </row>
    <row r="6" spans="3:8" s="2" customFormat="1" ht="12">
      <c r="C6" s="5"/>
      <c r="E6" s="6"/>
      <c r="F6" s="6"/>
      <c r="G6" s="6"/>
      <c r="H6" s="7"/>
    </row>
    <row r="7" spans="2:10" s="2" customFormat="1" ht="12">
      <c r="B7" s="4" t="s">
        <v>4</v>
      </c>
      <c r="C7" s="679" t="str">
        <f>ENTE!D8</f>
        <v>UNIDAD DE SERVICIOS PARA LA EDUCACION BASICA EN EL ESTADO DE QUERETARO</v>
      </c>
      <c r="D7" s="679"/>
      <c r="E7" s="679"/>
      <c r="F7" s="679"/>
      <c r="G7" s="679"/>
      <c r="H7" s="679"/>
      <c r="I7" s="679"/>
      <c r="J7" s="679"/>
    </row>
    <row r="8" spans="3:8" s="2" customFormat="1" ht="12">
      <c r="C8" s="5"/>
      <c r="E8" s="6"/>
      <c r="F8" s="6"/>
      <c r="G8" s="6"/>
      <c r="H8" s="7"/>
    </row>
    <row r="9" spans="2:10" s="2" customFormat="1" ht="12">
      <c r="B9" s="676" t="s">
        <v>381</v>
      </c>
      <c r="C9" s="676"/>
      <c r="D9" s="676">
        <v>2017</v>
      </c>
      <c r="E9" s="676"/>
      <c r="F9" s="676"/>
      <c r="G9" s="676"/>
      <c r="H9" s="676"/>
      <c r="I9" s="676"/>
      <c r="J9" s="676"/>
    </row>
    <row r="10" spans="2:10" s="2" customFormat="1" ht="28.5" customHeight="1">
      <c r="B10" s="189" t="s">
        <v>360</v>
      </c>
      <c r="C10" s="189" t="s">
        <v>361</v>
      </c>
      <c r="D10" s="189" t="s">
        <v>370</v>
      </c>
      <c r="E10" s="189" t="s">
        <v>371</v>
      </c>
      <c r="F10" s="189" t="s">
        <v>372</v>
      </c>
      <c r="G10" s="189" t="s">
        <v>373</v>
      </c>
      <c r="H10" s="189" t="s">
        <v>374</v>
      </c>
      <c r="I10" s="189" t="s">
        <v>375</v>
      </c>
      <c r="J10" s="189" t="s">
        <v>376</v>
      </c>
    </row>
    <row r="11" spans="2:10" ht="12">
      <c r="B11" s="193"/>
      <c r="C11" s="292" t="s">
        <v>755</v>
      </c>
      <c r="D11" s="188"/>
      <c r="E11" s="188"/>
      <c r="F11" s="188"/>
      <c r="G11" s="188"/>
      <c r="H11" s="188"/>
      <c r="I11" s="188"/>
      <c r="J11" s="190"/>
    </row>
    <row r="12" spans="2:10" ht="12">
      <c r="B12" s="193">
        <v>11</v>
      </c>
      <c r="C12" s="291" t="s">
        <v>10</v>
      </c>
      <c r="D12" s="188"/>
      <c r="E12" s="188"/>
      <c r="F12" s="188"/>
      <c r="G12" s="188"/>
      <c r="H12" s="188"/>
      <c r="I12" s="188"/>
      <c r="J12" s="190"/>
    </row>
    <row r="13" spans="2:11" ht="12">
      <c r="B13" s="193">
        <v>12</v>
      </c>
      <c r="C13" s="291" t="s">
        <v>11</v>
      </c>
      <c r="D13" s="188"/>
      <c r="E13" s="188"/>
      <c r="F13" s="188"/>
      <c r="G13" s="188"/>
      <c r="H13" s="188"/>
      <c r="I13" s="188"/>
      <c r="J13" s="190"/>
      <c r="K13" s="19"/>
    </row>
    <row r="14" spans="2:11" ht="12">
      <c r="B14" s="193">
        <v>13</v>
      </c>
      <c r="C14" s="291" t="s">
        <v>12</v>
      </c>
      <c r="D14" s="188"/>
      <c r="E14" s="188"/>
      <c r="F14" s="188"/>
      <c r="G14" s="188"/>
      <c r="H14" s="188"/>
      <c r="I14" s="188"/>
      <c r="J14" s="190"/>
      <c r="K14" s="19"/>
    </row>
    <row r="15" spans="2:11" ht="12">
      <c r="B15" s="193">
        <v>14</v>
      </c>
      <c r="C15" s="291" t="s">
        <v>13</v>
      </c>
      <c r="D15" s="188"/>
      <c r="E15" s="188"/>
      <c r="F15" s="188"/>
      <c r="G15" s="188"/>
      <c r="H15" s="188"/>
      <c r="I15" s="188"/>
      <c r="J15" s="190"/>
      <c r="K15" s="19"/>
    </row>
    <row r="16" spans="2:11" ht="12">
      <c r="B16" s="193">
        <v>15</v>
      </c>
      <c r="C16" s="291" t="s">
        <v>14</v>
      </c>
      <c r="D16" s="188"/>
      <c r="E16" s="188"/>
      <c r="F16" s="188"/>
      <c r="G16" s="188"/>
      <c r="H16" s="188"/>
      <c r="I16" s="188"/>
      <c r="J16" s="190"/>
      <c r="K16" s="19"/>
    </row>
    <row r="17" spans="2:11" ht="12">
      <c r="B17" s="193">
        <v>16</v>
      </c>
      <c r="C17" s="291" t="s">
        <v>15</v>
      </c>
      <c r="D17" s="188"/>
      <c r="E17" s="188"/>
      <c r="F17" s="188"/>
      <c r="G17" s="188"/>
      <c r="H17" s="188"/>
      <c r="I17" s="188"/>
      <c r="J17" s="190"/>
      <c r="K17" s="19"/>
    </row>
    <row r="18" spans="2:11" ht="12">
      <c r="B18" s="193">
        <v>17</v>
      </c>
      <c r="C18" s="291" t="s">
        <v>16</v>
      </c>
      <c r="D18" s="188"/>
      <c r="E18" s="188"/>
      <c r="F18" s="188"/>
      <c r="G18" s="188"/>
      <c r="H18" s="188"/>
      <c r="I18" s="188"/>
      <c r="J18" s="190"/>
      <c r="K18" s="19"/>
    </row>
    <row r="19" spans="2:11" ht="12">
      <c r="B19" s="193">
        <v>18</v>
      </c>
      <c r="C19" s="291" t="s">
        <v>17</v>
      </c>
      <c r="D19" s="188"/>
      <c r="E19" s="188"/>
      <c r="F19" s="188"/>
      <c r="G19" s="188"/>
      <c r="H19" s="188"/>
      <c r="I19" s="188"/>
      <c r="J19" s="190"/>
      <c r="K19" s="19"/>
    </row>
    <row r="20" spans="2:11" ht="12">
      <c r="B20" s="193">
        <v>21</v>
      </c>
      <c r="C20" s="291" t="s">
        <v>18</v>
      </c>
      <c r="D20" s="188"/>
      <c r="E20" s="188"/>
      <c r="F20" s="188"/>
      <c r="G20" s="188"/>
      <c r="H20" s="188"/>
      <c r="I20" s="188"/>
      <c r="J20" s="190"/>
      <c r="K20" s="19"/>
    </row>
    <row r="21" spans="2:11" ht="12">
      <c r="B21" s="193">
        <v>22</v>
      </c>
      <c r="C21" s="291" t="s">
        <v>19</v>
      </c>
      <c r="D21" s="188"/>
      <c r="E21" s="188"/>
      <c r="F21" s="188"/>
      <c r="G21" s="188"/>
      <c r="H21" s="188"/>
      <c r="I21" s="188"/>
      <c r="J21" s="190"/>
      <c r="K21" s="19"/>
    </row>
    <row r="22" spans="2:11" ht="12">
      <c r="B22" s="193">
        <v>23</v>
      </c>
      <c r="C22" s="291" t="s">
        <v>20</v>
      </c>
      <c r="D22" s="188"/>
      <c r="E22" s="188"/>
      <c r="F22" s="188"/>
      <c r="G22" s="188"/>
      <c r="H22" s="188"/>
      <c r="I22" s="188"/>
      <c r="J22" s="190"/>
      <c r="K22" s="19"/>
    </row>
    <row r="23" spans="2:11" ht="12">
      <c r="B23" s="193">
        <v>24</v>
      </c>
      <c r="C23" s="291" t="s">
        <v>21</v>
      </c>
      <c r="D23" s="188"/>
      <c r="E23" s="188"/>
      <c r="F23" s="188"/>
      <c r="G23" s="188"/>
      <c r="H23" s="188"/>
      <c r="I23" s="188"/>
      <c r="J23" s="190"/>
      <c r="K23" s="19"/>
    </row>
    <row r="24" spans="2:11" ht="12">
      <c r="B24" s="193">
        <v>25</v>
      </c>
      <c r="C24" s="291" t="s">
        <v>22</v>
      </c>
      <c r="D24" s="188">
        <v>-2000000</v>
      </c>
      <c r="E24" s="188"/>
      <c r="F24" s="188">
        <v>-220084.96</v>
      </c>
      <c r="G24" s="188"/>
      <c r="H24" s="188">
        <v>0</v>
      </c>
      <c r="I24" s="188"/>
      <c r="J24" s="190">
        <v>1189329.4300000002</v>
      </c>
      <c r="K24" s="19"/>
    </row>
    <row r="25" spans="2:11" ht="12">
      <c r="B25" s="193">
        <v>26</v>
      </c>
      <c r="C25" s="291" t="s">
        <v>23</v>
      </c>
      <c r="D25" s="188"/>
      <c r="E25" s="188"/>
      <c r="F25" s="188"/>
      <c r="G25" s="188"/>
      <c r="H25" s="188"/>
      <c r="I25" s="188"/>
      <c r="J25" s="190"/>
      <c r="K25" s="19"/>
    </row>
    <row r="26" spans="2:11" ht="12">
      <c r="B26" s="193">
        <v>27</v>
      </c>
      <c r="C26" s="291" t="s">
        <v>24</v>
      </c>
      <c r="D26" s="188"/>
      <c r="E26" s="188"/>
      <c r="F26" s="188"/>
      <c r="G26" s="188"/>
      <c r="H26" s="188"/>
      <c r="I26" s="188"/>
      <c r="J26" s="190"/>
      <c r="K26" s="19"/>
    </row>
    <row r="27" spans="2:11" ht="12">
      <c r="B27" s="193">
        <v>31</v>
      </c>
      <c r="C27" s="291" t="s">
        <v>25</v>
      </c>
      <c r="D27" s="188"/>
      <c r="E27" s="188"/>
      <c r="F27" s="188"/>
      <c r="G27" s="188"/>
      <c r="H27" s="188"/>
      <c r="I27" s="188"/>
      <c r="J27" s="190"/>
      <c r="K27" s="19"/>
    </row>
    <row r="28" spans="2:11" ht="12">
      <c r="B28" s="193">
        <v>32</v>
      </c>
      <c r="C28" s="291" t="s">
        <v>26</v>
      </c>
      <c r="D28" s="188"/>
      <c r="E28" s="188"/>
      <c r="F28" s="188"/>
      <c r="G28" s="188"/>
      <c r="H28" s="188"/>
      <c r="I28" s="188"/>
      <c r="J28" s="190"/>
      <c r="K28" s="19"/>
    </row>
    <row r="29" spans="2:11" ht="12">
      <c r="B29" s="193">
        <v>33</v>
      </c>
      <c r="C29" s="291" t="s">
        <v>27</v>
      </c>
      <c r="D29" s="188"/>
      <c r="E29" s="188"/>
      <c r="F29" s="188"/>
      <c r="G29" s="188"/>
      <c r="H29" s="188"/>
      <c r="I29" s="188"/>
      <c r="J29" s="190"/>
      <c r="K29" s="19"/>
    </row>
    <row r="30" spans="2:11" ht="12">
      <c r="B30" s="193">
        <v>34</v>
      </c>
      <c r="C30" s="291" t="s">
        <v>28</v>
      </c>
      <c r="D30" s="188"/>
      <c r="E30" s="188"/>
      <c r="F30" s="188"/>
      <c r="G30" s="188"/>
      <c r="H30" s="188"/>
      <c r="I30" s="188"/>
      <c r="J30" s="190"/>
      <c r="K30" s="19"/>
    </row>
    <row r="31" spans="2:11" ht="12">
      <c r="B31" s="193">
        <v>35</v>
      </c>
      <c r="C31" s="291" t="s">
        <v>29</v>
      </c>
      <c r="D31" s="188"/>
      <c r="E31" s="188"/>
      <c r="F31" s="188"/>
      <c r="G31" s="188"/>
      <c r="H31" s="188"/>
      <c r="I31" s="188"/>
      <c r="J31" s="190"/>
      <c r="K31" s="19"/>
    </row>
    <row r="32" spans="2:11" ht="12">
      <c r="B32" s="193">
        <v>36</v>
      </c>
      <c r="C32" s="291" t="s">
        <v>30</v>
      </c>
      <c r="D32" s="188"/>
      <c r="E32" s="188"/>
      <c r="F32" s="188"/>
      <c r="G32" s="188"/>
      <c r="H32" s="188"/>
      <c r="I32" s="188"/>
      <c r="J32" s="190"/>
      <c r="K32" s="19"/>
    </row>
    <row r="33" spans="2:11" ht="12">
      <c r="B33" s="193">
        <v>37</v>
      </c>
      <c r="C33" s="291" t="s">
        <v>31</v>
      </c>
      <c r="D33" s="188"/>
      <c r="E33" s="188"/>
      <c r="F33" s="188"/>
      <c r="G33" s="188"/>
      <c r="H33" s="188"/>
      <c r="I33" s="188"/>
      <c r="J33" s="190"/>
      <c r="K33" s="19"/>
    </row>
    <row r="34" spans="2:11" ht="12">
      <c r="B34" s="193">
        <v>38</v>
      </c>
      <c r="C34" s="291" t="s">
        <v>32</v>
      </c>
      <c r="D34" s="188"/>
      <c r="E34" s="188"/>
      <c r="F34" s="188"/>
      <c r="G34" s="188"/>
      <c r="H34" s="188"/>
      <c r="I34" s="188"/>
      <c r="J34" s="190"/>
      <c r="K34" s="19"/>
    </row>
    <row r="35" spans="2:11" ht="12">
      <c r="B35" s="193">
        <v>39</v>
      </c>
      <c r="C35" s="291" t="s">
        <v>33</v>
      </c>
      <c r="D35" s="188"/>
      <c r="E35" s="188"/>
      <c r="F35" s="188"/>
      <c r="G35" s="188"/>
      <c r="H35" s="188"/>
      <c r="I35" s="188"/>
      <c r="J35" s="190"/>
      <c r="K35" s="19"/>
    </row>
    <row r="36" spans="2:11" ht="12">
      <c r="B36" s="193">
        <v>41</v>
      </c>
      <c r="C36" s="291" t="s">
        <v>34</v>
      </c>
      <c r="D36" s="188"/>
      <c r="E36" s="188"/>
      <c r="F36" s="188"/>
      <c r="G36" s="188"/>
      <c r="H36" s="188"/>
      <c r="I36" s="188"/>
      <c r="J36" s="190"/>
      <c r="K36" s="19"/>
    </row>
    <row r="37" spans="2:11" ht="12">
      <c r="B37" s="193">
        <v>42</v>
      </c>
      <c r="C37" s="291" t="s">
        <v>35</v>
      </c>
      <c r="D37" s="188"/>
      <c r="E37" s="188"/>
      <c r="F37" s="188"/>
      <c r="G37" s="188"/>
      <c r="H37" s="188"/>
      <c r="I37" s="188"/>
      <c r="J37" s="190"/>
      <c r="K37" s="19"/>
    </row>
    <row r="38" spans="2:11" ht="12">
      <c r="B38" s="193">
        <v>43</v>
      </c>
      <c r="C38" s="291" t="s">
        <v>36</v>
      </c>
      <c r="D38" s="188"/>
      <c r="E38" s="188"/>
      <c r="F38" s="188"/>
      <c r="G38" s="188"/>
      <c r="H38" s="188"/>
      <c r="I38" s="188"/>
      <c r="J38" s="190"/>
      <c r="K38" s="19"/>
    </row>
    <row r="39" spans="2:11" ht="12">
      <c r="B39" s="193">
        <v>44</v>
      </c>
      <c r="C39" s="291" t="s">
        <v>37</v>
      </c>
      <c r="D39" s="188"/>
      <c r="E39" s="188"/>
      <c r="F39" s="188"/>
      <c r="G39" s="188"/>
      <c r="H39" s="188"/>
      <c r="I39" s="188"/>
      <c r="J39" s="190"/>
      <c r="K39" s="19"/>
    </row>
    <row r="40" spans="2:11" ht="12">
      <c r="B40" s="193"/>
      <c r="C40" s="291"/>
      <c r="D40" s="188"/>
      <c r="E40" s="188"/>
      <c r="F40" s="188"/>
      <c r="G40" s="188"/>
      <c r="H40" s="188"/>
      <c r="I40" s="188"/>
      <c r="J40" s="190"/>
      <c r="K40" s="19"/>
    </row>
    <row r="41" spans="2:11" ht="12">
      <c r="B41" s="193"/>
      <c r="C41" s="292" t="s">
        <v>754</v>
      </c>
      <c r="D41" s="188"/>
      <c r="E41" s="188"/>
      <c r="F41" s="188"/>
      <c r="G41" s="188"/>
      <c r="H41" s="188"/>
      <c r="I41" s="188"/>
      <c r="J41" s="190"/>
      <c r="K41" s="19"/>
    </row>
    <row r="42" spans="2:11" ht="12">
      <c r="B42" s="193">
        <v>11</v>
      </c>
      <c r="C42" s="291" t="s">
        <v>10</v>
      </c>
      <c r="D42" s="188"/>
      <c r="E42" s="188"/>
      <c r="F42" s="188"/>
      <c r="G42" s="188"/>
      <c r="H42" s="188"/>
      <c r="I42" s="188"/>
      <c r="J42" s="190"/>
      <c r="K42" s="19"/>
    </row>
    <row r="43" spans="2:11" ht="12">
      <c r="B43" s="193">
        <v>12</v>
      </c>
      <c r="C43" s="291" t="s">
        <v>11</v>
      </c>
      <c r="D43" s="188"/>
      <c r="E43" s="188"/>
      <c r="F43" s="188"/>
      <c r="G43" s="188"/>
      <c r="H43" s="188"/>
      <c r="I43" s="188"/>
      <c r="J43" s="190"/>
      <c r="K43" s="19"/>
    </row>
    <row r="44" spans="2:11" ht="12">
      <c r="B44" s="193">
        <v>13</v>
      </c>
      <c r="C44" s="291" t="s">
        <v>12</v>
      </c>
      <c r="D44" s="188"/>
      <c r="E44" s="188"/>
      <c r="F44" s="188"/>
      <c r="G44" s="188"/>
      <c r="H44" s="188"/>
      <c r="I44" s="188"/>
      <c r="J44" s="190"/>
      <c r="K44" s="19"/>
    </row>
    <row r="45" spans="2:11" ht="12">
      <c r="B45" s="193">
        <v>14</v>
      </c>
      <c r="C45" s="291" t="s">
        <v>13</v>
      </c>
      <c r="D45" s="188"/>
      <c r="E45" s="188"/>
      <c r="F45" s="188"/>
      <c r="G45" s="188"/>
      <c r="H45" s="188"/>
      <c r="I45" s="188"/>
      <c r="J45" s="190"/>
      <c r="K45" s="19"/>
    </row>
    <row r="46" spans="2:11" ht="12">
      <c r="B46" s="193">
        <v>15</v>
      </c>
      <c r="C46" s="291" t="s">
        <v>14</v>
      </c>
      <c r="D46" s="188"/>
      <c r="E46" s="188"/>
      <c r="F46" s="188"/>
      <c r="G46" s="188"/>
      <c r="H46" s="188"/>
      <c r="I46" s="188"/>
      <c r="J46" s="190"/>
      <c r="K46" s="19"/>
    </row>
    <row r="47" spans="2:11" ht="12">
      <c r="B47" s="193">
        <v>16</v>
      </c>
      <c r="C47" s="291" t="s">
        <v>15</v>
      </c>
      <c r="D47" s="188"/>
      <c r="E47" s="188"/>
      <c r="F47" s="188"/>
      <c r="G47" s="188"/>
      <c r="H47" s="188"/>
      <c r="I47" s="188"/>
      <c r="J47" s="190"/>
      <c r="K47" s="19"/>
    </row>
    <row r="48" spans="2:11" ht="12">
      <c r="B48" s="193">
        <v>17</v>
      </c>
      <c r="C48" s="291" t="s">
        <v>16</v>
      </c>
      <c r="D48" s="188"/>
      <c r="E48" s="188"/>
      <c r="F48" s="188"/>
      <c r="G48" s="188"/>
      <c r="H48" s="188"/>
      <c r="I48" s="188"/>
      <c r="J48" s="190"/>
      <c r="K48" s="19"/>
    </row>
    <row r="49" spans="2:11" ht="12">
      <c r="B49" s="193">
        <v>18</v>
      </c>
      <c r="C49" s="291" t="s">
        <v>17</v>
      </c>
      <c r="D49" s="188"/>
      <c r="E49" s="188"/>
      <c r="F49" s="188"/>
      <c r="G49" s="188"/>
      <c r="H49" s="188"/>
      <c r="I49" s="188"/>
      <c r="J49" s="190"/>
      <c r="K49" s="19"/>
    </row>
    <row r="50" spans="2:11" ht="12">
      <c r="B50" s="193">
        <v>21</v>
      </c>
      <c r="C50" s="291" t="s">
        <v>18</v>
      </c>
      <c r="D50" s="188"/>
      <c r="E50" s="188"/>
      <c r="F50" s="188"/>
      <c r="G50" s="188"/>
      <c r="H50" s="188"/>
      <c r="I50" s="188"/>
      <c r="J50" s="190"/>
      <c r="K50" s="19"/>
    </row>
    <row r="51" spans="2:11" ht="12">
      <c r="B51" s="193">
        <v>22</v>
      </c>
      <c r="C51" s="291" t="s">
        <v>19</v>
      </c>
      <c r="D51" s="188"/>
      <c r="E51" s="188"/>
      <c r="F51" s="188"/>
      <c r="G51" s="188"/>
      <c r="H51" s="188"/>
      <c r="I51" s="188"/>
      <c r="J51" s="190"/>
      <c r="K51" s="19"/>
    </row>
    <row r="52" spans="2:11" ht="12">
      <c r="B52" s="193">
        <v>23</v>
      </c>
      <c r="C52" s="291" t="s">
        <v>20</v>
      </c>
      <c r="D52" s="188"/>
      <c r="E52" s="188"/>
      <c r="F52" s="188"/>
      <c r="G52" s="188"/>
      <c r="H52" s="188"/>
      <c r="I52" s="188"/>
      <c r="J52" s="190"/>
      <c r="K52" s="19"/>
    </row>
    <row r="53" spans="2:11" ht="12">
      <c r="B53" s="193">
        <v>24</v>
      </c>
      <c r="C53" s="291" t="s">
        <v>21</v>
      </c>
      <c r="D53" s="188"/>
      <c r="E53" s="188"/>
      <c r="F53" s="188"/>
      <c r="G53" s="188"/>
      <c r="H53" s="188"/>
      <c r="I53" s="188"/>
      <c r="J53" s="190"/>
      <c r="K53" s="19"/>
    </row>
    <row r="54" spans="2:11" ht="12">
      <c r="B54" s="193">
        <v>25</v>
      </c>
      <c r="C54" s="291" t="s">
        <v>22</v>
      </c>
      <c r="D54" s="188">
        <v>-7000457993</v>
      </c>
      <c r="E54" s="188"/>
      <c r="F54" s="188">
        <v>-156747576.24</v>
      </c>
      <c r="G54" s="188"/>
      <c r="H54" s="188">
        <v>10058981.329999993</v>
      </c>
      <c r="I54" s="188">
        <v>3122241478.77</v>
      </c>
      <c r="J54" s="190">
        <v>709672974.33</v>
      </c>
      <c r="K54" s="19"/>
    </row>
    <row r="55" spans="2:11" ht="12">
      <c r="B55" s="193">
        <v>26</v>
      </c>
      <c r="C55" s="291" t="s">
        <v>23</v>
      </c>
      <c r="D55" s="188"/>
      <c r="E55" s="188"/>
      <c r="F55" s="188"/>
      <c r="G55" s="188"/>
      <c r="H55" s="188"/>
      <c r="I55" s="188"/>
      <c r="J55" s="190"/>
      <c r="K55" s="19"/>
    </row>
    <row r="56" spans="2:11" ht="12">
      <c r="B56" s="193">
        <v>27</v>
      </c>
      <c r="C56" s="291" t="s">
        <v>24</v>
      </c>
      <c r="D56" s="188"/>
      <c r="E56" s="188"/>
      <c r="F56" s="188"/>
      <c r="G56" s="188"/>
      <c r="H56" s="188"/>
      <c r="I56" s="188"/>
      <c r="J56" s="190"/>
      <c r="K56" s="19"/>
    </row>
    <row r="57" spans="2:11" ht="12">
      <c r="B57" s="193">
        <v>31</v>
      </c>
      <c r="C57" s="291" t="s">
        <v>25</v>
      </c>
      <c r="D57" s="188"/>
      <c r="E57" s="188"/>
      <c r="F57" s="188"/>
      <c r="G57" s="188"/>
      <c r="H57" s="188"/>
      <c r="I57" s="188"/>
      <c r="J57" s="190"/>
      <c r="K57" s="19"/>
    </row>
    <row r="58" spans="2:11" ht="12">
      <c r="B58" s="193">
        <v>32</v>
      </c>
      <c r="C58" s="291" t="s">
        <v>26</v>
      </c>
      <c r="D58" s="188"/>
      <c r="E58" s="188"/>
      <c r="F58" s="188"/>
      <c r="G58" s="188"/>
      <c r="H58" s="188"/>
      <c r="I58" s="188"/>
      <c r="J58" s="190"/>
      <c r="K58" s="19"/>
    </row>
    <row r="59" spans="2:11" ht="12">
      <c r="B59" s="193">
        <v>33</v>
      </c>
      <c r="C59" s="291" t="s">
        <v>27</v>
      </c>
      <c r="D59" s="188"/>
      <c r="E59" s="188"/>
      <c r="F59" s="188"/>
      <c r="G59" s="188"/>
      <c r="H59" s="188"/>
      <c r="I59" s="188"/>
      <c r="J59" s="190"/>
      <c r="K59" s="19"/>
    </row>
    <row r="60" spans="2:11" ht="12">
      <c r="B60" s="193">
        <v>34</v>
      </c>
      <c r="C60" s="291" t="s">
        <v>28</v>
      </c>
      <c r="D60" s="188"/>
      <c r="E60" s="188"/>
      <c r="F60" s="188"/>
      <c r="G60" s="188"/>
      <c r="H60" s="188"/>
      <c r="I60" s="188"/>
      <c r="J60" s="190"/>
      <c r="K60" s="19"/>
    </row>
    <row r="61" spans="2:11" ht="12">
      <c r="B61" s="193">
        <v>35</v>
      </c>
      <c r="C61" s="291" t="s">
        <v>29</v>
      </c>
      <c r="D61" s="188"/>
      <c r="E61" s="188"/>
      <c r="F61" s="188"/>
      <c r="G61" s="188"/>
      <c r="H61" s="188"/>
      <c r="I61" s="188"/>
      <c r="J61" s="190"/>
      <c r="K61" s="19"/>
    </row>
    <row r="62" spans="2:11" ht="12">
      <c r="B62" s="193">
        <v>36</v>
      </c>
      <c r="C62" s="291" t="s">
        <v>30</v>
      </c>
      <c r="D62" s="188"/>
      <c r="E62" s="188"/>
      <c r="F62" s="188"/>
      <c r="G62" s="188"/>
      <c r="H62" s="188"/>
      <c r="I62" s="188"/>
      <c r="J62" s="190"/>
      <c r="K62" s="19"/>
    </row>
    <row r="63" spans="2:11" ht="12">
      <c r="B63" s="193">
        <v>37</v>
      </c>
      <c r="C63" s="291" t="s">
        <v>31</v>
      </c>
      <c r="D63" s="188"/>
      <c r="E63" s="188"/>
      <c r="F63" s="188"/>
      <c r="G63" s="188"/>
      <c r="H63" s="188"/>
      <c r="I63" s="188"/>
      <c r="J63" s="190"/>
      <c r="K63" s="19"/>
    </row>
    <row r="64" spans="2:11" ht="12">
      <c r="B64" s="193">
        <v>38</v>
      </c>
      <c r="C64" s="291" t="s">
        <v>32</v>
      </c>
      <c r="D64" s="188"/>
      <c r="E64" s="188"/>
      <c r="F64" s="188"/>
      <c r="G64" s="188"/>
      <c r="H64" s="188"/>
      <c r="I64" s="188"/>
      <c r="J64" s="190"/>
      <c r="K64" s="19"/>
    </row>
    <row r="65" spans="2:11" ht="12">
      <c r="B65" s="193">
        <v>39</v>
      </c>
      <c r="C65" s="291" t="s">
        <v>33</v>
      </c>
      <c r="D65" s="188"/>
      <c r="E65" s="188"/>
      <c r="F65" s="188"/>
      <c r="G65" s="188"/>
      <c r="H65" s="188"/>
      <c r="I65" s="188"/>
      <c r="J65" s="190"/>
      <c r="K65" s="19"/>
    </row>
    <row r="66" spans="2:11" ht="12">
      <c r="B66" s="193">
        <v>41</v>
      </c>
      <c r="C66" s="291" t="s">
        <v>34</v>
      </c>
      <c r="D66" s="188"/>
      <c r="E66" s="188"/>
      <c r="F66" s="188"/>
      <c r="G66" s="188"/>
      <c r="H66" s="188"/>
      <c r="I66" s="188"/>
      <c r="J66" s="190"/>
      <c r="K66" s="19"/>
    </row>
    <row r="67" spans="2:11" ht="12">
      <c r="B67" s="193">
        <v>42</v>
      </c>
      <c r="C67" s="291" t="s">
        <v>35</v>
      </c>
      <c r="D67" s="188"/>
      <c r="E67" s="188"/>
      <c r="F67" s="188"/>
      <c r="G67" s="188"/>
      <c r="H67" s="188"/>
      <c r="I67" s="188"/>
      <c r="J67" s="190"/>
      <c r="K67" s="19"/>
    </row>
    <row r="68" spans="2:11" ht="12">
      <c r="B68" s="193">
        <v>43</v>
      </c>
      <c r="C68" s="291" t="s">
        <v>36</v>
      </c>
      <c r="D68" s="188"/>
      <c r="E68" s="188"/>
      <c r="F68" s="188"/>
      <c r="G68" s="188"/>
      <c r="H68" s="188"/>
      <c r="I68" s="188"/>
      <c r="J68" s="190"/>
      <c r="K68" s="19"/>
    </row>
    <row r="69" spans="2:11" ht="12">
      <c r="B69" s="193">
        <v>44</v>
      </c>
      <c r="C69" s="291" t="s">
        <v>37</v>
      </c>
      <c r="D69" s="188"/>
      <c r="E69" s="188"/>
      <c r="F69" s="188"/>
      <c r="G69" s="188"/>
      <c r="H69" s="188"/>
      <c r="I69" s="188"/>
      <c r="J69" s="190"/>
      <c r="K69" s="19"/>
    </row>
    <row r="70" spans="2:11" ht="12">
      <c r="B70" s="195"/>
      <c r="C70" s="293"/>
      <c r="D70" s="191"/>
      <c r="E70" s="191"/>
      <c r="F70" s="191"/>
      <c r="G70" s="191"/>
      <c r="H70" s="191"/>
      <c r="I70" s="191"/>
      <c r="J70" s="192"/>
      <c r="K70" s="19"/>
    </row>
    <row r="71" spans="4:11" ht="12">
      <c r="D71" s="10">
        <f>SUM(D12:D70)</f>
        <v>-7002457993</v>
      </c>
      <c r="E71" s="10">
        <f aca="true" t="shared" si="0" ref="E71:J71">SUM(E12:E70)</f>
        <v>0</v>
      </c>
      <c r="F71" s="10">
        <f t="shared" si="0"/>
        <v>-156967661.20000002</v>
      </c>
      <c r="G71" s="10">
        <f t="shared" si="0"/>
        <v>0</v>
      </c>
      <c r="H71" s="10">
        <f t="shared" si="0"/>
        <v>10058981.329999993</v>
      </c>
      <c r="I71" s="10">
        <f t="shared" si="0"/>
        <v>3122241478.77</v>
      </c>
      <c r="J71" s="10">
        <f t="shared" si="0"/>
        <v>710862303.76</v>
      </c>
      <c r="K71" s="19"/>
    </row>
    <row r="72" spans="4:10" ht="12">
      <c r="D72" s="8"/>
      <c r="E72" s="8"/>
      <c r="F72" s="8"/>
      <c r="G72" s="8"/>
      <c r="H72" s="8"/>
      <c r="I72" s="8"/>
      <c r="J72" s="8"/>
    </row>
    <row r="73" spans="4:10" ht="12">
      <c r="D73" s="11" t="str">
        <f>IF(SUM(D70:J70)=0," ","ERROR EN LA SUMATORIA DE LOS SALDOS, LA SUMA DE TODAS LAS COLUMNAS DEBE SER CERO, HAY UN DESCUADRE POR: "&amp;SUM(D70:J70))</f>
        <v> </v>
      </c>
      <c r="E73" s="8"/>
      <c r="F73" s="8"/>
      <c r="G73" s="8"/>
      <c r="H73" s="8"/>
      <c r="I73" s="8"/>
      <c r="J73" s="8"/>
    </row>
    <row r="74" spans="4:10" ht="12">
      <c r="D74" s="8"/>
      <c r="E74" s="8"/>
      <c r="F74" s="8"/>
      <c r="G74" s="8"/>
      <c r="H74" s="8"/>
      <c r="I74" s="8"/>
      <c r="J74" s="8"/>
    </row>
    <row r="75" spans="4:10" ht="12">
      <c r="D75" s="8"/>
      <c r="E75" s="8"/>
      <c r="F75" s="8"/>
      <c r="G75" s="8"/>
      <c r="H75" s="8"/>
      <c r="I75" s="8"/>
      <c r="J75" s="8"/>
    </row>
    <row r="76" spans="4:10" ht="12">
      <c r="D76" s="8"/>
      <c r="E76" s="8"/>
      <c r="F76" s="8"/>
      <c r="G76" s="8"/>
      <c r="H76" s="8"/>
      <c r="I76" s="8"/>
      <c r="J76" s="8"/>
    </row>
    <row r="77" spans="4:10" ht="12">
      <c r="D77" s="8"/>
      <c r="E77" s="8"/>
      <c r="F77" s="8"/>
      <c r="G77" s="8"/>
      <c r="H77" s="8"/>
      <c r="I77" s="8"/>
      <c r="J77" s="8"/>
    </row>
  </sheetData>
  <sheetProtection sheet="1" objects="1" scenarios="1" selectLockedCells="1"/>
  <mergeCells count="7">
    <mergeCell ref="B9:C9"/>
    <mergeCell ref="D9:J9"/>
    <mergeCell ref="C2:H2"/>
    <mergeCell ref="C3:H3"/>
    <mergeCell ref="C4:H4"/>
    <mergeCell ref="C7:J7"/>
    <mergeCell ref="C5:H5"/>
  </mergeCells>
  <printOptions/>
  <pageMargins left="0.7086614173228347" right="0.7086614173228347" top="0.7480314960629921" bottom="0.7480314960629921" header="0.31496062992125984" footer="0.31496062992125984"/>
  <pageSetup fitToHeight="15" fitToWidth="1" horizontalDpi="600" verticalDpi="600" orientation="portrait" scale="36" r:id="rId1"/>
  <headerFooter>
    <oddFooter>&amp;L&amp;NBorrador&amp;C&amp;A&amp;NPágina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6"/>
  <sheetViews>
    <sheetView showGridLines="0" view="pageBreakPreview" zoomScale="96" zoomScaleSheetLayoutView="96" zoomScalePageLayoutView="0" workbookViewId="0" topLeftCell="A1">
      <selection activeCell="B2" sqref="B2:I2"/>
    </sheetView>
  </sheetViews>
  <sheetFormatPr defaultColWidth="11.421875" defaultRowHeight="15"/>
  <cols>
    <col min="1" max="1" width="2.28125" style="21" customWidth="1"/>
    <col min="2" max="2" width="4.57421875" style="159" customWidth="1"/>
    <col min="3" max="3" width="60.28125" style="3" customWidth="1"/>
    <col min="4" max="9" width="12.7109375" style="3" customWidth="1"/>
    <col min="10" max="10" width="3.28125" style="21" customWidth="1"/>
    <col min="11" max="16384" width="11.421875" style="3" customWidth="1"/>
  </cols>
  <sheetData>
    <row r="1" s="21" customFormat="1" ht="12" customHeight="1"/>
    <row r="2" spans="2:9" ht="12" customHeight="1">
      <c r="B2" s="677"/>
      <c r="C2" s="677"/>
      <c r="D2" s="677"/>
      <c r="E2" s="677"/>
      <c r="F2" s="677"/>
      <c r="G2" s="677"/>
      <c r="H2" s="677"/>
      <c r="I2" s="677"/>
    </row>
    <row r="3" spans="2:9" ht="12" customHeight="1">
      <c r="B3" s="680" t="s">
        <v>301</v>
      </c>
      <c r="C3" s="680"/>
      <c r="D3" s="680"/>
      <c r="E3" s="680"/>
      <c r="F3" s="680"/>
      <c r="G3" s="680"/>
      <c r="H3" s="680"/>
      <c r="I3" s="680"/>
    </row>
    <row r="4" spans="2:9" ht="12" customHeight="1">
      <c r="B4" s="680" t="str">
        <f>"Del 1 de enero al "&amp;TEXT(INDEX(Periodos,ENTE!D18,1),"dd")&amp;" de "&amp;TEXT(INDEX(Periodos,ENTE!D18,1),"mmmm")&amp;" de "&amp;TEXT(INDEX(Periodos,ENTE!D18,1),"aaaa")&amp;""</f>
        <v>Del 1 de enero al 30 de septiembre de 2017</v>
      </c>
      <c r="C4" s="680"/>
      <c r="D4" s="680"/>
      <c r="E4" s="680"/>
      <c r="F4" s="680"/>
      <c r="G4" s="680"/>
      <c r="H4" s="680"/>
      <c r="I4" s="680"/>
    </row>
    <row r="5" spans="2:9" ht="12" customHeight="1">
      <c r="B5" s="680" t="s">
        <v>92</v>
      </c>
      <c r="C5" s="680"/>
      <c r="D5" s="680"/>
      <c r="E5" s="680"/>
      <c r="F5" s="680"/>
      <c r="G5" s="680"/>
      <c r="H5" s="680"/>
      <c r="I5" s="680"/>
    </row>
    <row r="6" spans="2:9" s="21" customFormat="1" ht="12" customHeight="1">
      <c r="B6" s="680"/>
      <c r="C6" s="680"/>
      <c r="D6" s="680"/>
      <c r="E6" s="680"/>
      <c r="F6" s="680"/>
      <c r="G6" s="680"/>
      <c r="H6" s="680"/>
      <c r="I6" s="680"/>
    </row>
    <row r="7" spans="2:9" s="21" customFormat="1" ht="12" customHeight="1">
      <c r="B7" s="178" t="s">
        <v>4</v>
      </c>
      <c r="C7" s="679" t="str">
        <f>ENTE!D8</f>
        <v>UNIDAD DE SERVICIOS PARA LA EDUCACION BASICA EN EL ESTADO DE QUERETARO</v>
      </c>
      <c r="D7" s="679"/>
      <c r="E7" s="679"/>
      <c r="F7" s="679"/>
      <c r="G7" s="679"/>
      <c r="H7" s="679"/>
      <c r="I7" s="679"/>
    </row>
    <row r="8" s="21" customFormat="1" ht="12" customHeight="1"/>
    <row r="9" spans="2:9" ht="12">
      <c r="B9" s="735" t="s">
        <v>93</v>
      </c>
      <c r="C9" s="735"/>
      <c r="D9" s="729" t="s">
        <v>758</v>
      </c>
      <c r="E9" s="729"/>
      <c r="F9" s="729"/>
      <c r="G9" s="729"/>
      <c r="H9" s="729"/>
      <c r="I9" s="729" t="s">
        <v>636</v>
      </c>
    </row>
    <row r="10" spans="2:9" ht="24">
      <c r="B10" s="735"/>
      <c r="C10" s="735"/>
      <c r="D10" s="357" t="s">
        <v>243</v>
      </c>
      <c r="E10" s="357" t="s">
        <v>244</v>
      </c>
      <c r="F10" s="357" t="s">
        <v>220</v>
      </c>
      <c r="G10" s="357" t="s">
        <v>221</v>
      </c>
      <c r="H10" s="357" t="s">
        <v>245</v>
      </c>
      <c r="I10" s="729"/>
    </row>
    <row r="11" spans="2:9" ht="12">
      <c r="B11" s="735"/>
      <c r="C11" s="735"/>
      <c r="D11" s="357">
        <v>1</v>
      </c>
      <c r="E11" s="357">
        <v>2</v>
      </c>
      <c r="F11" s="357" t="s">
        <v>246</v>
      </c>
      <c r="G11" s="357">
        <v>4</v>
      </c>
      <c r="H11" s="357">
        <v>5</v>
      </c>
      <c r="I11" s="357" t="s">
        <v>247</v>
      </c>
    </row>
    <row r="12" spans="2:9" ht="3" customHeight="1">
      <c r="B12" s="149"/>
      <c r="C12" s="138"/>
      <c r="D12" s="139"/>
      <c r="E12" s="139"/>
      <c r="F12" s="139"/>
      <c r="G12" s="139"/>
      <c r="H12" s="139"/>
      <c r="I12" s="139"/>
    </row>
    <row r="13" spans="1:10" s="150" customFormat="1" ht="12">
      <c r="A13" s="72"/>
      <c r="B13" s="767" t="s">
        <v>302</v>
      </c>
      <c r="C13" s="768"/>
      <c r="D13" s="360">
        <f aca="true" t="shared" si="0" ref="D13:I13">SUM(D14:D21)</f>
        <v>0</v>
      </c>
      <c r="E13" s="360">
        <f>SUM(E14:E21)</f>
        <v>0</v>
      </c>
      <c r="F13" s="360">
        <f t="shared" si="0"/>
        <v>0</v>
      </c>
      <c r="G13" s="360">
        <f>SUM(G14:G21)</f>
        <v>0</v>
      </c>
      <c r="H13" s="360">
        <f>SUM(H14:H21)</f>
        <v>0</v>
      </c>
      <c r="I13" s="360">
        <f t="shared" si="0"/>
        <v>0</v>
      </c>
      <c r="J13" s="72"/>
    </row>
    <row r="14" spans="1:10" s="150" customFormat="1" ht="12">
      <c r="A14" s="72"/>
      <c r="B14" s="151"/>
      <c r="C14" s="152" t="s">
        <v>10</v>
      </c>
      <c r="D14" s="105">
        <f>-(SCFG!D12+SCFG!D42)</f>
        <v>0</v>
      </c>
      <c r="E14" s="105">
        <f>-(SCFG!F12+SCFG!F42)</f>
        <v>0</v>
      </c>
      <c r="F14" s="105">
        <f>+D14+E14</f>
        <v>0</v>
      </c>
      <c r="G14" s="105">
        <f>SUM(SCFG!H12+SCFG!H42,SCFG!I12+SCFG!I42,SCFG!J12+SCFG!J42)</f>
        <v>0</v>
      </c>
      <c r="H14" s="105">
        <f>(SCFG!J12+SCFG!J42)</f>
        <v>0</v>
      </c>
      <c r="I14" s="105">
        <f>+F14-G14</f>
        <v>0</v>
      </c>
      <c r="J14" s="72"/>
    </row>
    <row r="15" spans="1:10" s="150" customFormat="1" ht="12">
      <c r="A15" s="72"/>
      <c r="B15" s="151"/>
      <c r="C15" s="152" t="s">
        <v>11</v>
      </c>
      <c r="D15" s="105">
        <f>-(SCFG!D13+SCFG!D43)</f>
        <v>0</v>
      </c>
      <c r="E15" s="105">
        <f>-(SCFG!F13+SCFG!F43)</f>
        <v>0</v>
      </c>
      <c r="F15" s="105">
        <f aca="true" t="shared" si="1" ref="F15:F21">+D15+E15</f>
        <v>0</v>
      </c>
      <c r="G15" s="105">
        <f>SUM(SCFG!H13+SCFG!H43,SCFG!I13+SCFG!I43,SCFG!J13+SCFG!J43)</f>
        <v>0</v>
      </c>
      <c r="H15" s="105">
        <f>(SCFG!J13+SCFG!J43)</f>
        <v>0</v>
      </c>
      <c r="I15" s="105">
        <f aca="true" t="shared" si="2" ref="I15:I21">+F15-G15</f>
        <v>0</v>
      </c>
      <c r="J15" s="72"/>
    </row>
    <row r="16" spans="1:10" s="150" customFormat="1" ht="12">
      <c r="A16" s="72"/>
      <c r="B16" s="151"/>
      <c r="C16" s="152" t="s">
        <v>12</v>
      </c>
      <c r="D16" s="105">
        <f>-(SCFG!D14+SCFG!D44)</f>
        <v>0</v>
      </c>
      <c r="E16" s="105">
        <f>-(SCFG!F14+SCFG!F44)</f>
        <v>0</v>
      </c>
      <c r="F16" s="105">
        <f t="shared" si="1"/>
        <v>0</v>
      </c>
      <c r="G16" s="105">
        <f>SUM(SCFG!H14+SCFG!H44,SCFG!I14+SCFG!I44,SCFG!J14+SCFG!J44)</f>
        <v>0</v>
      </c>
      <c r="H16" s="105">
        <f>(SCFG!J14+SCFG!J44)</f>
        <v>0</v>
      </c>
      <c r="I16" s="105">
        <f t="shared" si="2"/>
        <v>0</v>
      </c>
      <c r="J16" s="72"/>
    </row>
    <row r="17" spans="1:10" s="150" customFormat="1" ht="12">
      <c r="A17" s="72"/>
      <c r="B17" s="151"/>
      <c r="C17" s="152" t="s">
        <v>13</v>
      </c>
      <c r="D17" s="105">
        <f>-(SCFG!D15+SCFG!D45)</f>
        <v>0</v>
      </c>
      <c r="E17" s="105">
        <f>-(SCFG!F15+SCFG!F45)</f>
        <v>0</v>
      </c>
      <c r="F17" s="105">
        <f t="shared" si="1"/>
        <v>0</v>
      </c>
      <c r="G17" s="105">
        <f>SUM(SCFG!H15+SCFG!H45,SCFG!I15+SCFG!I45,SCFG!J15+SCFG!J45)</f>
        <v>0</v>
      </c>
      <c r="H17" s="105">
        <f>(SCFG!J15+SCFG!J45)</f>
        <v>0</v>
      </c>
      <c r="I17" s="105">
        <f t="shared" si="2"/>
        <v>0</v>
      </c>
      <c r="J17" s="72"/>
    </row>
    <row r="18" spans="1:10" s="150" customFormat="1" ht="12">
      <c r="A18" s="72"/>
      <c r="B18" s="151"/>
      <c r="C18" s="152" t="s">
        <v>14</v>
      </c>
      <c r="D18" s="105">
        <f>-(SCFG!D16+SCFG!D46)</f>
        <v>0</v>
      </c>
      <c r="E18" s="105">
        <f>-(SCFG!F16+SCFG!F46)</f>
        <v>0</v>
      </c>
      <c r="F18" s="105">
        <f t="shared" si="1"/>
        <v>0</v>
      </c>
      <c r="G18" s="105">
        <f>SUM(SCFG!H16+SCFG!H46,SCFG!I16+SCFG!I46,SCFG!J16+SCFG!J46)</f>
        <v>0</v>
      </c>
      <c r="H18" s="105">
        <f>(SCFG!J16+SCFG!J46)</f>
        <v>0</v>
      </c>
      <c r="I18" s="105">
        <f t="shared" si="2"/>
        <v>0</v>
      </c>
      <c r="J18" s="72"/>
    </row>
    <row r="19" spans="1:10" s="150" customFormat="1" ht="12">
      <c r="A19" s="72"/>
      <c r="B19" s="151"/>
      <c r="C19" s="152" t="s">
        <v>15</v>
      </c>
      <c r="D19" s="105">
        <f>-(SCFG!D17+SCFG!D47)</f>
        <v>0</v>
      </c>
      <c r="E19" s="105">
        <f>-(SCFG!F17+SCFG!F47)</f>
        <v>0</v>
      </c>
      <c r="F19" s="105">
        <f t="shared" si="1"/>
        <v>0</v>
      </c>
      <c r="G19" s="105">
        <f>SUM(SCFG!H17+SCFG!H47,SCFG!I17+SCFG!I47,SCFG!J17+SCFG!J47)</f>
        <v>0</v>
      </c>
      <c r="H19" s="105">
        <f>(SCFG!J17+SCFG!J47)</f>
        <v>0</v>
      </c>
      <c r="I19" s="105">
        <f t="shared" si="2"/>
        <v>0</v>
      </c>
      <c r="J19" s="72"/>
    </row>
    <row r="20" spans="1:10" s="150" customFormat="1" ht="12">
      <c r="A20" s="72"/>
      <c r="B20" s="151"/>
      <c r="C20" s="152" t="s">
        <v>16</v>
      </c>
      <c r="D20" s="105">
        <f>-(SCFG!D18+SCFG!D48)</f>
        <v>0</v>
      </c>
      <c r="E20" s="105">
        <f>-(SCFG!F18+SCFG!F48)</f>
        <v>0</v>
      </c>
      <c r="F20" s="105">
        <f t="shared" si="1"/>
        <v>0</v>
      </c>
      <c r="G20" s="105">
        <f>SUM(SCFG!H18+SCFG!H48,SCFG!I18+SCFG!I48,SCFG!J18+SCFG!J48)</f>
        <v>0</v>
      </c>
      <c r="H20" s="105">
        <f>(SCFG!J18+SCFG!J48)</f>
        <v>0</v>
      </c>
      <c r="I20" s="105">
        <f t="shared" si="2"/>
        <v>0</v>
      </c>
      <c r="J20" s="72"/>
    </row>
    <row r="21" spans="1:10" s="150" customFormat="1" ht="12">
      <c r="A21" s="72"/>
      <c r="B21" s="151"/>
      <c r="C21" s="152" t="s">
        <v>17</v>
      </c>
      <c r="D21" s="105">
        <f>-(SCFG!D19+SCFG!D49)</f>
        <v>0</v>
      </c>
      <c r="E21" s="105">
        <f>-(SCFG!F19+SCFG!F49)</f>
        <v>0</v>
      </c>
      <c r="F21" s="105">
        <f t="shared" si="1"/>
        <v>0</v>
      </c>
      <c r="G21" s="105">
        <f>SUM(SCFG!H19+SCFG!H49,SCFG!I19+SCFG!I49,SCFG!J19+SCFG!J49)</f>
        <v>0</v>
      </c>
      <c r="H21" s="105">
        <f>(SCFG!J19+SCFG!J49)</f>
        <v>0</v>
      </c>
      <c r="I21" s="105">
        <f t="shared" si="2"/>
        <v>0</v>
      </c>
      <c r="J21" s="72"/>
    </row>
    <row r="22" spans="1:10" s="154" customFormat="1" ht="12">
      <c r="A22" s="153"/>
      <c r="B22" s="767" t="s">
        <v>303</v>
      </c>
      <c r="C22" s="768"/>
      <c r="D22" s="360">
        <f>SUM(D23:D29)</f>
        <v>7002457993</v>
      </c>
      <c r="E22" s="360">
        <f>SUM(E23:E29)</f>
        <v>156967661.20000002</v>
      </c>
      <c r="F22" s="360">
        <f>+D22+E22</f>
        <v>7159425654.2</v>
      </c>
      <c r="G22" s="360">
        <f>SUM(G23:G29)</f>
        <v>3843162763.8599997</v>
      </c>
      <c r="H22" s="360">
        <f>SUM(H23:H29)</f>
        <v>710862303.76</v>
      </c>
      <c r="I22" s="360">
        <f>+F22-G22</f>
        <v>3316262890.34</v>
      </c>
      <c r="J22" s="153"/>
    </row>
    <row r="23" spans="1:10" s="150" customFormat="1" ht="12">
      <c r="A23" s="72"/>
      <c r="B23" s="151"/>
      <c r="C23" s="152" t="s">
        <v>18</v>
      </c>
      <c r="D23" s="105">
        <f>-(SCFG!D20+SCFG!D50)</f>
        <v>0</v>
      </c>
      <c r="E23" s="105">
        <f>-(SCFG!F20+SCFG!F50)</f>
        <v>0</v>
      </c>
      <c r="F23" s="105">
        <f>+D23+E23</f>
        <v>0</v>
      </c>
      <c r="G23" s="105">
        <f>SUM(SCFG!H20+SCFG!H50,SCFG!I20+SCFG!I50,SCFG!J20+SCFG!J50)</f>
        <v>0</v>
      </c>
      <c r="H23" s="105">
        <f>(SCFG!J20+SCFG!J50)</f>
        <v>0</v>
      </c>
      <c r="I23" s="105">
        <f aca="true" t="shared" si="3" ref="I23:I29">+F23-G23</f>
        <v>0</v>
      </c>
      <c r="J23" s="72"/>
    </row>
    <row r="24" spans="1:10" s="150" customFormat="1" ht="12">
      <c r="A24" s="72"/>
      <c r="B24" s="151"/>
      <c r="C24" s="152" t="s">
        <v>19</v>
      </c>
      <c r="D24" s="105">
        <f>-(SCFG!D21+SCFG!D51)</f>
        <v>0</v>
      </c>
      <c r="E24" s="105">
        <f>-(SCFG!F21+SCFG!F51)</f>
        <v>0</v>
      </c>
      <c r="F24" s="105">
        <f aca="true" t="shared" si="4" ref="F24:F29">+D24+E24</f>
        <v>0</v>
      </c>
      <c r="G24" s="105">
        <f>SUM(SCFG!H21+SCFG!H51,SCFG!I21+SCFG!I51,SCFG!J21+SCFG!J51)</f>
        <v>0</v>
      </c>
      <c r="H24" s="105">
        <f>(SCFG!J21+SCFG!J51)</f>
        <v>0</v>
      </c>
      <c r="I24" s="105">
        <f t="shared" si="3"/>
        <v>0</v>
      </c>
      <c r="J24" s="72"/>
    </row>
    <row r="25" spans="1:10" s="150" customFormat="1" ht="12">
      <c r="A25" s="72"/>
      <c r="B25" s="151"/>
      <c r="C25" s="152" t="s">
        <v>20</v>
      </c>
      <c r="D25" s="105">
        <f>-(SCFG!D22+SCFG!D52)</f>
        <v>0</v>
      </c>
      <c r="E25" s="105">
        <f>-(SCFG!F22+SCFG!F52)</f>
        <v>0</v>
      </c>
      <c r="F25" s="105">
        <f t="shared" si="4"/>
        <v>0</v>
      </c>
      <c r="G25" s="105">
        <f>SUM(SCFG!H22+SCFG!H52,SCFG!I22+SCFG!I52,SCFG!J22+SCFG!J52)</f>
        <v>0</v>
      </c>
      <c r="H25" s="105">
        <f>(SCFG!J22+SCFG!J52)</f>
        <v>0</v>
      </c>
      <c r="I25" s="105">
        <f t="shared" si="3"/>
        <v>0</v>
      </c>
      <c r="J25" s="72"/>
    </row>
    <row r="26" spans="1:10" s="150" customFormat="1" ht="12">
      <c r="A26" s="72"/>
      <c r="B26" s="151"/>
      <c r="C26" s="152" t="s">
        <v>21</v>
      </c>
      <c r="D26" s="105">
        <f>-(SCFG!D23+SCFG!D53)</f>
        <v>0</v>
      </c>
      <c r="E26" s="105">
        <f>-(SCFG!F23+SCFG!F53)</f>
        <v>0</v>
      </c>
      <c r="F26" s="105">
        <f t="shared" si="4"/>
        <v>0</v>
      </c>
      <c r="G26" s="105">
        <f>SUM(SCFG!H23+SCFG!H53,SCFG!I23+SCFG!I53,SCFG!J23+SCFG!J53)</f>
        <v>0</v>
      </c>
      <c r="H26" s="105">
        <f>(SCFG!J23+SCFG!J53)</f>
        <v>0</v>
      </c>
      <c r="I26" s="105">
        <f t="shared" si="3"/>
        <v>0</v>
      </c>
      <c r="J26" s="72"/>
    </row>
    <row r="27" spans="1:10" s="150" customFormat="1" ht="12">
      <c r="A27" s="72"/>
      <c r="B27" s="151"/>
      <c r="C27" s="152" t="s">
        <v>22</v>
      </c>
      <c r="D27" s="105">
        <f>-(SCFG!D24+SCFG!D54)</f>
        <v>7002457993</v>
      </c>
      <c r="E27" s="105">
        <f>-(SCFG!F24+SCFG!F54)</f>
        <v>156967661.20000002</v>
      </c>
      <c r="F27" s="105">
        <f t="shared" si="4"/>
        <v>7159425654.2</v>
      </c>
      <c r="G27" s="105">
        <f>SUM(SCFG!H24+SCFG!H54,SCFG!I24+SCFG!I54,SCFG!J24+SCFG!J54)</f>
        <v>3843162763.8599997</v>
      </c>
      <c r="H27" s="105">
        <f>(SCFG!J24+SCFG!J54)</f>
        <v>710862303.76</v>
      </c>
      <c r="I27" s="105">
        <f t="shared" si="3"/>
        <v>3316262890.34</v>
      </c>
      <c r="J27" s="72"/>
    </row>
    <row r="28" spans="1:10" s="150" customFormat="1" ht="12">
      <c r="A28" s="72"/>
      <c r="B28" s="151"/>
      <c r="C28" s="152" t="s">
        <v>23</v>
      </c>
      <c r="D28" s="105">
        <f>-(SCFG!D25+SCFG!D55)</f>
        <v>0</v>
      </c>
      <c r="E28" s="105">
        <f>-(SCFG!F25+SCFG!F55)</f>
        <v>0</v>
      </c>
      <c r="F28" s="105">
        <f t="shared" si="4"/>
        <v>0</v>
      </c>
      <c r="G28" s="105">
        <f>SUM(SCFG!H25+SCFG!H55,SCFG!I25+SCFG!I55,SCFG!J25+SCFG!J55)</f>
        <v>0</v>
      </c>
      <c r="H28" s="105">
        <f>(SCFG!J25+SCFG!J55)</f>
        <v>0</v>
      </c>
      <c r="I28" s="105">
        <f t="shared" si="3"/>
        <v>0</v>
      </c>
      <c r="J28" s="72"/>
    </row>
    <row r="29" spans="1:10" s="150" customFormat="1" ht="12">
      <c r="A29" s="72"/>
      <c r="B29" s="151"/>
      <c r="C29" s="152" t="s">
        <v>24</v>
      </c>
      <c r="D29" s="105">
        <f>-(SCFG!D26+SCFG!D56)</f>
        <v>0</v>
      </c>
      <c r="E29" s="105">
        <f>-(SCFG!F26+SCFG!F56)</f>
        <v>0</v>
      </c>
      <c r="F29" s="105">
        <f t="shared" si="4"/>
        <v>0</v>
      </c>
      <c r="G29" s="105">
        <f>SUM(SCFG!H26+SCFG!H56,SCFG!I26+SCFG!I56,SCFG!J26+SCFG!J56)</f>
        <v>0</v>
      </c>
      <c r="H29" s="105">
        <f>(SCFG!J26+SCFG!J56)</f>
        <v>0</v>
      </c>
      <c r="I29" s="105">
        <f t="shared" si="3"/>
        <v>0</v>
      </c>
      <c r="J29" s="72"/>
    </row>
    <row r="30" spans="1:10" s="154" customFormat="1" ht="12">
      <c r="A30" s="153"/>
      <c r="B30" s="767" t="s">
        <v>304</v>
      </c>
      <c r="C30" s="768"/>
      <c r="D30" s="360">
        <f>SUM(D31:D39)</f>
        <v>0</v>
      </c>
      <c r="E30" s="360">
        <f>SUM(E31:E39)</f>
        <v>0</v>
      </c>
      <c r="F30" s="360">
        <f>+D30+E30</f>
        <v>0</v>
      </c>
      <c r="G30" s="360">
        <f>SUM(G31:G39)</f>
        <v>0</v>
      </c>
      <c r="H30" s="360">
        <f>SUM(H31:H39)</f>
        <v>0</v>
      </c>
      <c r="I30" s="360">
        <f>+F30-G30</f>
        <v>0</v>
      </c>
      <c r="J30" s="153"/>
    </row>
    <row r="31" spans="1:10" s="150" customFormat="1" ht="12">
      <c r="A31" s="72"/>
      <c r="B31" s="151"/>
      <c r="C31" s="152" t="s">
        <v>25</v>
      </c>
      <c r="D31" s="105">
        <f>-(SCFG!D27+SCFG!D57)</f>
        <v>0</v>
      </c>
      <c r="E31" s="105">
        <f>-(SCFG!F27+SCFG!F57)</f>
        <v>0</v>
      </c>
      <c r="F31" s="105">
        <f>+D31+E31</f>
        <v>0</v>
      </c>
      <c r="G31" s="105">
        <f>SUM(SCFG!H27+SCFG!H57,SCFG!I27+SCFG!I57,SCFG!J27+SCFG!J57)</f>
        <v>0</v>
      </c>
      <c r="H31" s="105">
        <f>(SCFG!J27+SCFG!J57)</f>
        <v>0</v>
      </c>
      <c r="I31" s="105">
        <f aca="true" t="shared" si="5" ref="I31:I39">+F31-G31</f>
        <v>0</v>
      </c>
      <c r="J31" s="72"/>
    </row>
    <row r="32" spans="1:10" s="150" customFormat="1" ht="12">
      <c r="A32" s="72"/>
      <c r="B32" s="151"/>
      <c r="C32" s="152" t="s">
        <v>26</v>
      </c>
      <c r="D32" s="105">
        <f>-(SCFG!D28+SCFG!D58)</f>
        <v>0</v>
      </c>
      <c r="E32" s="105">
        <f>-(SCFG!F28+SCFG!F58)</f>
        <v>0</v>
      </c>
      <c r="F32" s="105">
        <f aca="true" t="shared" si="6" ref="F32:F39">+D32+E32</f>
        <v>0</v>
      </c>
      <c r="G32" s="105">
        <f>SUM(SCFG!H28+SCFG!H58,SCFG!I28+SCFG!I58,SCFG!J28+SCFG!J58)</f>
        <v>0</v>
      </c>
      <c r="H32" s="105">
        <f>(SCFG!J28+SCFG!J58)</f>
        <v>0</v>
      </c>
      <c r="I32" s="105">
        <f t="shared" si="5"/>
        <v>0</v>
      </c>
      <c r="J32" s="72"/>
    </row>
    <row r="33" spans="1:10" s="150" customFormat="1" ht="12">
      <c r="A33" s="72"/>
      <c r="B33" s="151"/>
      <c r="C33" s="152" t="s">
        <v>27</v>
      </c>
      <c r="D33" s="105">
        <f>-(SCFG!D29+SCFG!D59)</f>
        <v>0</v>
      </c>
      <c r="E33" s="105">
        <f>-(SCFG!F29+SCFG!F59)</f>
        <v>0</v>
      </c>
      <c r="F33" s="105">
        <f t="shared" si="6"/>
        <v>0</v>
      </c>
      <c r="G33" s="105">
        <f>SUM(SCFG!H29+SCFG!H59,SCFG!I29+SCFG!I59,SCFG!J29+SCFG!J59)</f>
        <v>0</v>
      </c>
      <c r="H33" s="105">
        <f>(SCFG!J29+SCFG!J59)</f>
        <v>0</v>
      </c>
      <c r="I33" s="105">
        <f t="shared" si="5"/>
        <v>0</v>
      </c>
      <c r="J33" s="72"/>
    </row>
    <row r="34" spans="1:10" s="150" customFormat="1" ht="12">
      <c r="A34" s="72"/>
      <c r="B34" s="151"/>
      <c r="C34" s="152" t="s">
        <v>28</v>
      </c>
      <c r="D34" s="105">
        <f>-(SCFG!D30+SCFG!D60)</f>
        <v>0</v>
      </c>
      <c r="E34" s="105">
        <f>-(SCFG!F30+SCFG!F60)</f>
        <v>0</v>
      </c>
      <c r="F34" s="105">
        <f t="shared" si="6"/>
        <v>0</v>
      </c>
      <c r="G34" s="105">
        <f>SUM(SCFG!H30+SCFG!H60,SCFG!I30+SCFG!I60,SCFG!J30+SCFG!J60)</f>
        <v>0</v>
      </c>
      <c r="H34" s="105">
        <f>(SCFG!J30+SCFG!J60)</f>
        <v>0</v>
      </c>
      <c r="I34" s="105">
        <f t="shared" si="5"/>
        <v>0</v>
      </c>
      <c r="J34" s="72"/>
    </row>
    <row r="35" spans="1:10" s="150" customFormat="1" ht="12">
      <c r="A35" s="72"/>
      <c r="B35" s="151"/>
      <c r="C35" s="152" t="s">
        <v>29</v>
      </c>
      <c r="D35" s="105">
        <f>-(SCFG!D31+SCFG!D61)</f>
        <v>0</v>
      </c>
      <c r="E35" s="105">
        <f>-(SCFG!F31+SCFG!F61)</f>
        <v>0</v>
      </c>
      <c r="F35" s="105">
        <f t="shared" si="6"/>
        <v>0</v>
      </c>
      <c r="G35" s="105">
        <f>SUM(SCFG!H31+SCFG!H61,SCFG!I31+SCFG!I61,SCFG!J31+SCFG!J61)</f>
        <v>0</v>
      </c>
      <c r="H35" s="105">
        <f>(SCFG!J31+SCFG!J61)</f>
        <v>0</v>
      </c>
      <c r="I35" s="105">
        <f t="shared" si="5"/>
        <v>0</v>
      </c>
      <c r="J35" s="72"/>
    </row>
    <row r="36" spans="1:10" s="150" customFormat="1" ht="12">
      <c r="A36" s="72"/>
      <c r="B36" s="151"/>
      <c r="C36" s="152" t="s">
        <v>30</v>
      </c>
      <c r="D36" s="105">
        <f>-(SCFG!D32+SCFG!D62)</f>
        <v>0</v>
      </c>
      <c r="E36" s="105">
        <f>-(SCFG!F32+SCFG!F62)</f>
        <v>0</v>
      </c>
      <c r="F36" s="105">
        <f t="shared" si="6"/>
        <v>0</v>
      </c>
      <c r="G36" s="105">
        <f>SUM(SCFG!H32+SCFG!H62,SCFG!I32+SCFG!I62,SCFG!J32+SCFG!J62)</f>
        <v>0</v>
      </c>
      <c r="H36" s="105">
        <f>(SCFG!J32+SCFG!J62)</f>
        <v>0</v>
      </c>
      <c r="I36" s="105">
        <f t="shared" si="5"/>
        <v>0</v>
      </c>
      <c r="J36" s="72"/>
    </row>
    <row r="37" spans="1:10" s="150" customFormat="1" ht="12">
      <c r="A37" s="72"/>
      <c r="B37" s="151"/>
      <c r="C37" s="152" t="s">
        <v>31</v>
      </c>
      <c r="D37" s="105">
        <f>-(SCFG!D33+SCFG!D63)</f>
        <v>0</v>
      </c>
      <c r="E37" s="105">
        <f>-(SCFG!F33+SCFG!F63)</f>
        <v>0</v>
      </c>
      <c r="F37" s="105">
        <f t="shared" si="6"/>
        <v>0</v>
      </c>
      <c r="G37" s="105">
        <f>SUM(SCFG!H33+SCFG!H63,SCFG!I33+SCFG!I63,SCFG!J33+SCFG!J63)</f>
        <v>0</v>
      </c>
      <c r="H37" s="105">
        <f>(SCFG!J33+SCFG!J63)</f>
        <v>0</v>
      </c>
      <c r="I37" s="105">
        <f t="shared" si="5"/>
        <v>0</v>
      </c>
      <c r="J37" s="72"/>
    </row>
    <row r="38" spans="1:10" s="150" customFormat="1" ht="12">
      <c r="A38" s="72"/>
      <c r="B38" s="151"/>
      <c r="C38" s="152" t="s">
        <v>32</v>
      </c>
      <c r="D38" s="105">
        <f>-(SCFG!D34+SCFG!D64)</f>
        <v>0</v>
      </c>
      <c r="E38" s="105">
        <f>-(SCFG!F34+SCFG!F64)</f>
        <v>0</v>
      </c>
      <c r="F38" s="105">
        <f t="shared" si="6"/>
        <v>0</v>
      </c>
      <c r="G38" s="105">
        <f>SUM(SCFG!H34+SCFG!H64,SCFG!I34+SCFG!I64,SCFG!J34+SCFG!J64)</f>
        <v>0</v>
      </c>
      <c r="H38" s="105">
        <f>(SCFG!J34+SCFG!J64)</f>
        <v>0</v>
      </c>
      <c r="I38" s="105">
        <f t="shared" si="5"/>
        <v>0</v>
      </c>
      <c r="J38" s="72"/>
    </row>
    <row r="39" spans="1:10" s="150" customFormat="1" ht="12">
      <c r="A39" s="72"/>
      <c r="B39" s="151"/>
      <c r="C39" s="152" t="s">
        <v>33</v>
      </c>
      <c r="D39" s="105">
        <f>-(SCFG!D35+SCFG!D65)</f>
        <v>0</v>
      </c>
      <c r="E39" s="105">
        <f>-(SCFG!F35+SCFG!F65)</f>
        <v>0</v>
      </c>
      <c r="F39" s="105">
        <f t="shared" si="6"/>
        <v>0</v>
      </c>
      <c r="G39" s="105">
        <f>SUM(SCFG!H35+SCFG!H65,SCFG!I35+SCFG!I65,SCFG!J35+SCFG!J65)</f>
        <v>0</v>
      </c>
      <c r="H39" s="105">
        <f>(SCFG!J35+SCFG!J65)</f>
        <v>0</v>
      </c>
      <c r="I39" s="105">
        <f t="shared" si="5"/>
        <v>0</v>
      </c>
      <c r="J39" s="72"/>
    </row>
    <row r="40" spans="1:10" s="154" customFormat="1" ht="12">
      <c r="A40" s="153"/>
      <c r="B40" s="767" t="s">
        <v>305</v>
      </c>
      <c r="C40" s="768"/>
      <c r="D40" s="360">
        <f>SUM(D41:D44)</f>
        <v>0</v>
      </c>
      <c r="E40" s="360">
        <f>SUM(E41:E44)</f>
        <v>0</v>
      </c>
      <c r="F40" s="360">
        <f>+D40+E40</f>
        <v>0</v>
      </c>
      <c r="G40" s="360">
        <f>SUM(G41:G44)</f>
        <v>0</v>
      </c>
      <c r="H40" s="360">
        <f>SUM(H41:H44)</f>
        <v>0</v>
      </c>
      <c r="I40" s="360">
        <f>+F40-G40</f>
        <v>0</v>
      </c>
      <c r="J40" s="153"/>
    </row>
    <row r="41" spans="1:10" s="150" customFormat="1" ht="12">
      <c r="A41" s="72"/>
      <c r="B41" s="151"/>
      <c r="C41" s="152" t="s">
        <v>306</v>
      </c>
      <c r="D41" s="105">
        <f>-(SCFG!D36+SCFG!D66)</f>
        <v>0</v>
      </c>
      <c r="E41" s="105">
        <f>-(SCFG!F36+SCFG!F66)</f>
        <v>0</v>
      </c>
      <c r="F41" s="105">
        <f>+D41+E41</f>
        <v>0</v>
      </c>
      <c r="G41" s="105">
        <f>SUM(SCFG!H36+SCFG!H66,SCFG!I36+SCFG!I66,SCFG!J36+SCFG!J66)</f>
        <v>0</v>
      </c>
      <c r="H41" s="105">
        <f>(SCFG!J36+SCFG!J66)</f>
        <v>0</v>
      </c>
      <c r="I41" s="105">
        <f>+F41-G41</f>
        <v>0</v>
      </c>
      <c r="J41" s="72"/>
    </row>
    <row r="42" spans="1:10" s="150" customFormat="1" ht="24">
      <c r="A42" s="72"/>
      <c r="B42" s="151"/>
      <c r="C42" s="152" t="s">
        <v>307</v>
      </c>
      <c r="D42" s="105">
        <f>-(SCFG!D37+SCFG!D67)</f>
        <v>0</v>
      </c>
      <c r="E42" s="105">
        <f>-(SCFG!F37+SCFG!F67)</f>
        <v>0</v>
      </c>
      <c r="F42" s="105">
        <f>+D42+E42</f>
        <v>0</v>
      </c>
      <c r="G42" s="105">
        <f>SUM(SCFG!H37+SCFG!H67,SCFG!I37+SCFG!I67,SCFG!J37+SCFG!J67)</f>
        <v>0</v>
      </c>
      <c r="H42" s="105">
        <f>(SCFG!J37+SCFG!J67)</f>
        <v>0</v>
      </c>
      <c r="I42" s="105">
        <f>+F42-G42</f>
        <v>0</v>
      </c>
      <c r="J42" s="72"/>
    </row>
    <row r="43" spans="1:10" s="150" customFormat="1" ht="12">
      <c r="A43" s="72"/>
      <c r="B43" s="151"/>
      <c r="C43" s="152" t="s">
        <v>36</v>
      </c>
      <c r="D43" s="105">
        <f>-(SCFG!D38+SCFG!D68)</f>
        <v>0</v>
      </c>
      <c r="E43" s="105">
        <f>-(SCFG!F38+SCFG!F68)</f>
        <v>0</v>
      </c>
      <c r="F43" s="105">
        <f>+D43+E43</f>
        <v>0</v>
      </c>
      <c r="G43" s="105">
        <f>SUM(SCFG!H38+SCFG!H68,SCFG!I38+SCFG!I68,SCFG!J38+SCFG!J68)</f>
        <v>0</v>
      </c>
      <c r="H43" s="105">
        <f>(SCFG!J38+SCFG!J68)</f>
        <v>0</v>
      </c>
      <c r="I43" s="105">
        <f>+F43-G43</f>
        <v>0</v>
      </c>
      <c r="J43" s="72"/>
    </row>
    <row r="44" spans="1:10" s="150" customFormat="1" ht="12">
      <c r="A44" s="72"/>
      <c r="B44" s="151"/>
      <c r="C44" s="152" t="s">
        <v>308</v>
      </c>
      <c r="D44" s="105">
        <f>-(SCFG!D39+SCFG!D69)</f>
        <v>0</v>
      </c>
      <c r="E44" s="105">
        <f>-(SCFG!F39+SCFG!F69)</f>
        <v>0</v>
      </c>
      <c r="F44" s="105">
        <f>+D44+E44</f>
        <v>0</v>
      </c>
      <c r="G44" s="105">
        <f>SUM(SCFG!H39+SCFG!H69,SCFG!I39+SCFG!I69,SCFG!J39+SCFG!J69)</f>
        <v>0</v>
      </c>
      <c r="H44" s="105">
        <f>(SCFG!J39+SCFG!J69)</f>
        <v>0</v>
      </c>
      <c r="I44" s="105">
        <f>+F44-G44</f>
        <v>0</v>
      </c>
      <c r="J44" s="72"/>
    </row>
    <row r="45" spans="1:10" s="154" customFormat="1" ht="12">
      <c r="A45" s="153"/>
      <c r="B45" s="375"/>
      <c r="C45" s="376" t="s">
        <v>248</v>
      </c>
      <c r="D45" s="398">
        <f aca="true" t="shared" si="7" ref="D45:I45">+D13+D22+D30+D40</f>
        <v>7002457993</v>
      </c>
      <c r="E45" s="398">
        <f t="shared" si="7"/>
        <v>156967661.20000002</v>
      </c>
      <c r="F45" s="398">
        <f t="shared" si="7"/>
        <v>7159425654.2</v>
      </c>
      <c r="G45" s="398">
        <f t="shared" si="7"/>
        <v>3843162763.8599997</v>
      </c>
      <c r="H45" s="398">
        <f t="shared" si="7"/>
        <v>710862303.76</v>
      </c>
      <c r="I45" s="398">
        <f t="shared" si="7"/>
        <v>3316262890.34</v>
      </c>
      <c r="J45" s="153"/>
    </row>
    <row r="46" spans="2:8" ht="12">
      <c r="B46" s="693" t="s">
        <v>149</v>
      </c>
      <c r="C46" s="693"/>
      <c r="D46" s="693"/>
      <c r="E46" s="693"/>
      <c r="F46" s="693"/>
      <c r="G46" s="693"/>
      <c r="H46" s="693"/>
    </row>
    <row r="47" spans="2:9" ht="52.5" customHeight="1" hidden="1">
      <c r="B47" s="715" t="s">
        <v>249</v>
      </c>
      <c r="C47" s="716"/>
      <c r="D47" s="716"/>
      <c r="E47" s="716"/>
      <c r="F47" s="716"/>
      <c r="G47" s="716"/>
      <c r="H47" s="716"/>
      <c r="I47" s="716"/>
    </row>
    <row r="48" spans="2:9" ht="12">
      <c r="B48" s="693"/>
      <c r="C48" s="693"/>
      <c r="D48" s="693"/>
      <c r="E48" s="693"/>
      <c r="F48" s="693"/>
      <c r="G48" s="693"/>
      <c r="H48" s="693"/>
      <c r="I48" s="143"/>
    </row>
    <row r="49" spans="2:9" ht="12">
      <c r="B49" s="350"/>
      <c r="C49" s="350"/>
      <c r="D49" s="350"/>
      <c r="E49" s="350"/>
      <c r="F49" s="350"/>
      <c r="G49" s="350"/>
      <c r="H49" s="350"/>
      <c r="I49" s="143"/>
    </row>
    <row r="50" spans="2:9" ht="12">
      <c r="B50" s="350"/>
      <c r="C50" s="350"/>
      <c r="D50" s="350"/>
      <c r="E50" s="350"/>
      <c r="F50" s="350"/>
      <c r="G50" s="350"/>
      <c r="H50" s="350"/>
      <c r="I50" s="143"/>
    </row>
    <row r="51" spans="2:9" ht="12">
      <c r="B51" s="350"/>
      <c r="C51" s="358"/>
      <c r="D51" s="358"/>
      <c r="E51" s="358"/>
      <c r="F51" s="358"/>
      <c r="G51" s="358"/>
      <c r="H51" s="358"/>
      <c r="I51" s="310"/>
    </row>
    <row r="52" spans="2:9" ht="12">
      <c r="B52" s="350"/>
      <c r="C52" s="358"/>
      <c r="D52" s="358"/>
      <c r="E52" s="358"/>
      <c r="F52" s="358"/>
      <c r="G52" s="358"/>
      <c r="H52" s="358"/>
      <c r="I52" s="310"/>
    </row>
    <row r="53" spans="2:9" ht="12">
      <c r="B53" s="350"/>
      <c r="C53" s="314"/>
      <c r="D53" s="358"/>
      <c r="E53" s="358"/>
      <c r="F53" s="314"/>
      <c r="G53" s="314"/>
      <c r="H53" s="314"/>
      <c r="I53" s="312"/>
    </row>
    <row r="54" spans="3:9" ht="15" customHeight="1">
      <c r="C54" s="356" t="str">
        <f>+ENTE!D10</f>
        <v>ING. ENRIQUE DE ECHAVARRI LARY</v>
      </c>
      <c r="D54" s="356"/>
      <c r="E54" s="356"/>
      <c r="F54" s="731" t="str">
        <f>+ENTE!D14</f>
        <v>LIC. RICARDO SALVADOR BACA MUÑOZ</v>
      </c>
      <c r="G54" s="731"/>
      <c r="H54" s="731"/>
      <c r="I54" s="731"/>
    </row>
    <row r="55" spans="3:9" ht="15" customHeight="1">
      <c r="C55" s="356" t="str">
        <f>+ENTE!D12</f>
        <v>COORDINADOR GENERAL </v>
      </c>
      <c r="D55" s="356"/>
      <c r="E55" s="356"/>
      <c r="F55" s="730" t="str">
        <f>+ENTE!D16</f>
        <v>DIRECTOR DE ADMINISTRACION</v>
      </c>
      <c r="G55" s="730"/>
      <c r="H55" s="730"/>
      <c r="I55" s="730"/>
    </row>
    <row r="56" spans="4:9" ht="12">
      <c r="D56" s="143"/>
      <c r="E56" s="143"/>
      <c r="F56" s="143"/>
      <c r="G56" s="143"/>
      <c r="H56" s="143"/>
      <c r="I56" s="144"/>
    </row>
  </sheetData>
  <sheetProtection sheet="1" objects="1" scenarios="1" selectLockedCells="1"/>
  <mergeCells count="18">
    <mergeCell ref="B13:C13"/>
    <mergeCell ref="B22:C22"/>
    <mergeCell ref="B48:H48"/>
    <mergeCell ref="F54:I54"/>
    <mergeCell ref="F55:I55"/>
    <mergeCell ref="B30:C30"/>
    <mergeCell ref="B40:C40"/>
    <mergeCell ref="B47:I47"/>
    <mergeCell ref="B46:H46"/>
    <mergeCell ref="B9:C11"/>
    <mergeCell ref="D9:H9"/>
    <mergeCell ref="B6:I6"/>
    <mergeCell ref="B2:I2"/>
    <mergeCell ref="B3:I3"/>
    <mergeCell ref="B4:I4"/>
    <mergeCell ref="B5:I5"/>
    <mergeCell ref="C7:I7"/>
    <mergeCell ref="I9:I1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6" r:id="rId1"/>
  <headerFooter>
    <oddFooter>&amp;C&amp;A&amp;RPágina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view="pageBreakPreview" zoomScaleNormal="80" zoomScaleSheetLayoutView="100" zoomScalePageLayoutView="0" workbookViewId="0" topLeftCell="A1">
      <selection activeCell="B2" sqref="B2:I2"/>
    </sheetView>
  </sheetViews>
  <sheetFormatPr defaultColWidth="11.421875" defaultRowHeight="15"/>
  <cols>
    <col min="1" max="1" width="2.8515625" style="200" customWidth="1"/>
    <col min="2" max="2" width="32.7109375" style="202" customWidth="1"/>
    <col min="3" max="3" width="62.57421875" style="202" customWidth="1"/>
    <col min="4" max="8" width="21.421875" style="202" customWidth="1"/>
    <col min="9" max="9" width="26.28125" style="202" customWidth="1"/>
    <col min="10" max="10" width="2.7109375" style="200" customWidth="1"/>
    <col min="11" max="16384" width="11.421875" style="202" customWidth="1"/>
  </cols>
  <sheetData>
    <row r="1" spans="2:9" ht="12">
      <c r="B1" s="201"/>
      <c r="C1" s="201"/>
      <c r="D1" s="201"/>
      <c r="E1" s="201"/>
      <c r="F1" s="201"/>
      <c r="G1" s="201"/>
      <c r="H1" s="201"/>
      <c r="I1" s="201"/>
    </row>
    <row r="2" spans="2:9" ht="12">
      <c r="B2" s="677"/>
      <c r="C2" s="677"/>
      <c r="D2" s="677"/>
      <c r="E2" s="677"/>
      <c r="F2" s="677"/>
      <c r="G2" s="677"/>
      <c r="H2" s="677"/>
      <c r="I2" s="677"/>
    </row>
    <row r="3" spans="2:9" ht="12">
      <c r="B3" s="696" t="s">
        <v>629</v>
      </c>
      <c r="C3" s="696"/>
      <c r="D3" s="696"/>
      <c r="E3" s="696"/>
      <c r="F3" s="696"/>
      <c r="G3" s="696"/>
      <c r="H3" s="696"/>
      <c r="I3" s="696"/>
    </row>
    <row r="4" spans="2:9" ht="12">
      <c r="B4" s="696" t="s">
        <v>632</v>
      </c>
      <c r="C4" s="696"/>
      <c r="D4" s="696"/>
      <c r="E4" s="696"/>
      <c r="F4" s="696"/>
      <c r="G4" s="696"/>
      <c r="H4" s="696"/>
      <c r="I4" s="696"/>
    </row>
    <row r="5" spans="2:9" ht="12">
      <c r="B5" s="696" t="str">
        <f>"Del 1 de enero al "&amp;TEXT(INDEX(Periodos,ENTE!D18,1),"dd")&amp;" de "&amp;TEXT(INDEX(Periodos,ENTE!D18,1),"mmmm")&amp;" de "&amp;TEXT(INDEX(Periodos,ENTE!D18,1),"aaaa")&amp;""</f>
        <v>Del 1 de enero al 30 de septiembre de 2017</v>
      </c>
      <c r="C5" s="696"/>
      <c r="D5" s="696"/>
      <c r="E5" s="696"/>
      <c r="F5" s="696"/>
      <c r="G5" s="696"/>
      <c r="H5" s="696"/>
      <c r="I5" s="696"/>
    </row>
    <row r="6" spans="2:9" ht="12">
      <c r="B6" s="696" t="s">
        <v>92</v>
      </c>
      <c r="C6" s="696"/>
      <c r="D6" s="696"/>
      <c r="E6" s="696"/>
      <c r="F6" s="696"/>
      <c r="G6" s="696"/>
      <c r="H6" s="696"/>
      <c r="I6" s="696"/>
    </row>
    <row r="7" spans="2:9" ht="12">
      <c r="B7" s="241"/>
      <c r="C7" s="241"/>
      <c r="D7" s="241"/>
      <c r="E7" s="241"/>
      <c r="F7" s="241"/>
      <c r="G7" s="241"/>
      <c r="H7" s="241"/>
      <c r="I7" s="241"/>
    </row>
    <row r="8" spans="2:9" ht="12">
      <c r="B8" s="280" t="s">
        <v>4</v>
      </c>
      <c r="C8" s="709" t="str">
        <f>+ENTE!D8</f>
        <v>UNIDAD DE SERVICIOS PARA LA EDUCACION BASICA EN EL ESTADO DE QUERETARO</v>
      </c>
      <c r="D8" s="709"/>
      <c r="E8" s="709"/>
      <c r="F8" s="709"/>
      <c r="G8" s="709"/>
      <c r="H8" s="709"/>
      <c r="I8" s="299"/>
    </row>
    <row r="9" spans="2:9" ht="12">
      <c r="B9" s="235"/>
      <c r="C9" s="235"/>
      <c r="D9" s="235"/>
      <c r="E9" s="235"/>
      <c r="F9" s="235"/>
      <c r="G9" s="235"/>
      <c r="H9" s="235"/>
      <c r="I9" s="235"/>
    </row>
    <row r="10" spans="2:9" ht="12">
      <c r="B10" s="747" t="s">
        <v>392</v>
      </c>
      <c r="C10" s="480"/>
      <c r="D10" s="729" t="s">
        <v>493</v>
      </c>
      <c r="E10" s="729"/>
      <c r="F10" s="729"/>
      <c r="G10" s="729"/>
      <c r="H10" s="729"/>
      <c r="I10" s="729" t="s">
        <v>636</v>
      </c>
    </row>
    <row r="11" spans="2:9" ht="28.5" customHeight="1">
      <c r="B11" s="749"/>
      <c r="C11" s="481"/>
      <c r="D11" s="357" t="s">
        <v>494</v>
      </c>
      <c r="E11" s="357" t="s">
        <v>244</v>
      </c>
      <c r="F11" s="357" t="s">
        <v>220</v>
      </c>
      <c r="G11" s="357" t="s">
        <v>221</v>
      </c>
      <c r="H11" s="357" t="s">
        <v>245</v>
      </c>
      <c r="I11" s="729"/>
    </row>
    <row r="12" spans="2:9" ht="12">
      <c r="B12" s="482" t="s">
        <v>574</v>
      </c>
      <c r="C12" s="483"/>
      <c r="D12" s="482">
        <f>+D13+D22+D30+D40</f>
        <v>2000000</v>
      </c>
      <c r="E12" s="482">
        <f>+E13+E22+E30+E40</f>
        <v>220084.96</v>
      </c>
      <c r="F12" s="484">
        <f>+F13+F22+F30+F40</f>
        <v>2220084.96</v>
      </c>
      <c r="G12" s="485">
        <f>+G13+G22+G30+G40</f>
        <v>1189329.4300000002</v>
      </c>
      <c r="H12" s="485">
        <f>+H13+H22+H30+H40</f>
        <v>1189329.4300000002</v>
      </c>
      <c r="I12" s="485">
        <f>+F12-G12</f>
        <v>1030755.5299999998</v>
      </c>
    </row>
    <row r="13" spans="1:10" s="207" customFormat="1" ht="12">
      <c r="A13" s="200"/>
      <c r="B13" s="775" t="s">
        <v>575</v>
      </c>
      <c r="C13" s="776"/>
      <c r="D13" s="482">
        <f>SUM(D14:D21)</f>
        <v>0</v>
      </c>
      <c r="E13" s="482">
        <f>SUM(E14:E21)</f>
        <v>0</v>
      </c>
      <c r="F13" s="484">
        <f>SUM(F14:F21)</f>
        <v>0</v>
      </c>
      <c r="G13" s="485">
        <f>SUM(G14:G21)</f>
        <v>0</v>
      </c>
      <c r="H13" s="485">
        <f>SUM(H14:H21)</f>
        <v>0</v>
      </c>
      <c r="I13" s="486">
        <f>+F13-G13</f>
        <v>0</v>
      </c>
      <c r="J13" s="200"/>
    </row>
    <row r="14" spans="2:9" ht="12">
      <c r="B14" s="487" t="s">
        <v>576</v>
      </c>
      <c r="C14" s="488"/>
      <c r="D14" s="491">
        <f>-SCFG!D12</f>
        <v>0</v>
      </c>
      <c r="E14" s="491">
        <f>-SCFG!F12</f>
        <v>0</v>
      </c>
      <c r="F14" s="506">
        <f>+D14+E14</f>
        <v>0</v>
      </c>
      <c r="G14" s="507">
        <f>(SCFG!H12+SCFG!I12+SCFG!J12)</f>
        <v>0</v>
      </c>
      <c r="H14" s="507">
        <f>SCFG!J12</f>
        <v>0</v>
      </c>
      <c r="I14" s="486">
        <f aca="true" t="shared" si="0" ref="I14:I44">+F14-G14</f>
        <v>0</v>
      </c>
    </row>
    <row r="15" spans="2:9" ht="12">
      <c r="B15" s="487" t="s">
        <v>577</v>
      </c>
      <c r="C15" s="488"/>
      <c r="D15" s="491">
        <f>-SCFG!D13</f>
        <v>0</v>
      </c>
      <c r="E15" s="491">
        <f>-SCFG!F13</f>
        <v>0</v>
      </c>
      <c r="F15" s="506">
        <f aca="true" t="shared" si="1" ref="F15:F44">+D15+E15</f>
        <v>0</v>
      </c>
      <c r="G15" s="507">
        <f>(SCFG!H13+SCFG!I13+SCFG!J13)</f>
        <v>0</v>
      </c>
      <c r="H15" s="507">
        <f>SCFG!J13</f>
        <v>0</v>
      </c>
      <c r="I15" s="486">
        <f t="shared" si="0"/>
        <v>0</v>
      </c>
    </row>
    <row r="16" spans="2:9" ht="12">
      <c r="B16" s="769" t="s">
        <v>578</v>
      </c>
      <c r="C16" s="770"/>
      <c r="D16" s="491">
        <f>-SCFG!D14</f>
        <v>0</v>
      </c>
      <c r="E16" s="491">
        <f>-SCFG!F14</f>
        <v>0</v>
      </c>
      <c r="F16" s="506">
        <f t="shared" si="1"/>
        <v>0</v>
      </c>
      <c r="G16" s="507">
        <f>(SCFG!H14+SCFG!I14+SCFG!J14)</f>
        <v>0</v>
      </c>
      <c r="H16" s="507">
        <f>SCFG!J14</f>
        <v>0</v>
      </c>
      <c r="I16" s="486">
        <f t="shared" si="0"/>
        <v>0</v>
      </c>
    </row>
    <row r="17" spans="2:9" ht="12">
      <c r="B17" s="487" t="s">
        <v>579</v>
      </c>
      <c r="C17" s="488"/>
      <c r="D17" s="491">
        <f>-SCFG!D15</f>
        <v>0</v>
      </c>
      <c r="E17" s="491">
        <f>-SCFG!F15</f>
        <v>0</v>
      </c>
      <c r="F17" s="506">
        <f t="shared" si="1"/>
        <v>0</v>
      </c>
      <c r="G17" s="507">
        <f>(SCFG!H15+SCFG!I15+SCFG!J15)</f>
        <v>0</v>
      </c>
      <c r="H17" s="507">
        <f>SCFG!J15</f>
        <v>0</v>
      </c>
      <c r="I17" s="486">
        <f t="shared" si="0"/>
        <v>0</v>
      </c>
    </row>
    <row r="18" spans="2:9" ht="12">
      <c r="B18" s="769" t="s">
        <v>580</v>
      </c>
      <c r="C18" s="770"/>
      <c r="D18" s="491">
        <f>-SCFG!D16</f>
        <v>0</v>
      </c>
      <c r="E18" s="491">
        <f>-SCFG!F16</f>
        <v>0</v>
      </c>
      <c r="F18" s="506">
        <f t="shared" si="1"/>
        <v>0</v>
      </c>
      <c r="G18" s="507">
        <f>(SCFG!H16+SCFG!I16+SCFG!J16)</f>
        <v>0</v>
      </c>
      <c r="H18" s="507">
        <f>SCFG!J16</f>
        <v>0</v>
      </c>
      <c r="I18" s="486">
        <f t="shared" si="0"/>
        <v>0</v>
      </c>
    </row>
    <row r="19" spans="2:9" ht="12">
      <c r="B19" s="487" t="s">
        <v>581</v>
      </c>
      <c r="C19" s="488"/>
      <c r="D19" s="491">
        <f>-SCFG!D17</f>
        <v>0</v>
      </c>
      <c r="E19" s="491">
        <f>-SCFG!F17</f>
        <v>0</v>
      </c>
      <c r="F19" s="506">
        <f t="shared" si="1"/>
        <v>0</v>
      </c>
      <c r="G19" s="507">
        <f>(SCFG!H17+SCFG!I17+SCFG!J17)</f>
        <v>0</v>
      </c>
      <c r="H19" s="507">
        <f>SCFG!J17</f>
        <v>0</v>
      </c>
      <c r="I19" s="486">
        <f t="shared" si="0"/>
        <v>0</v>
      </c>
    </row>
    <row r="20" spans="2:9" ht="12">
      <c r="B20" s="769" t="s">
        <v>582</v>
      </c>
      <c r="C20" s="770"/>
      <c r="D20" s="491">
        <f>-SCFG!D18</f>
        <v>0</v>
      </c>
      <c r="E20" s="491">
        <f>-SCFG!F18</f>
        <v>0</v>
      </c>
      <c r="F20" s="506">
        <f t="shared" si="1"/>
        <v>0</v>
      </c>
      <c r="G20" s="507">
        <f>(SCFG!H18+SCFG!I18+SCFG!J18)</f>
        <v>0</v>
      </c>
      <c r="H20" s="507">
        <f>SCFG!J18</f>
        <v>0</v>
      </c>
      <c r="I20" s="486">
        <f t="shared" si="0"/>
        <v>0</v>
      </c>
    </row>
    <row r="21" spans="2:9" ht="12">
      <c r="B21" s="487" t="s">
        <v>652</v>
      </c>
      <c r="C21" s="488"/>
      <c r="D21" s="491">
        <f>-SCFG!D19</f>
        <v>0</v>
      </c>
      <c r="E21" s="491">
        <f>-SCFG!F19</f>
        <v>0</v>
      </c>
      <c r="F21" s="506">
        <f t="shared" si="1"/>
        <v>0</v>
      </c>
      <c r="G21" s="507">
        <f>(SCFG!H19+SCFG!I19+SCFG!J19)</f>
        <v>0</v>
      </c>
      <c r="H21" s="507">
        <f>SCFG!J19</f>
        <v>0</v>
      </c>
      <c r="I21" s="486">
        <f t="shared" si="0"/>
        <v>0</v>
      </c>
    </row>
    <row r="22" spans="2:9" ht="12">
      <c r="B22" s="489" t="s">
        <v>583</v>
      </c>
      <c r="C22" s="490"/>
      <c r="D22" s="482">
        <f>SUM(D23:D29)</f>
        <v>2000000</v>
      </c>
      <c r="E22" s="482">
        <f>SUM(E23:E29)</f>
        <v>220084.96</v>
      </c>
      <c r="F22" s="484">
        <f>SUM(F23:F29)</f>
        <v>2220084.96</v>
      </c>
      <c r="G22" s="485">
        <f>SUM(G23:G29)</f>
        <v>1189329.4300000002</v>
      </c>
      <c r="H22" s="485">
        <f>SUM(H23:H29)</f>
        <v>1189329.4300000002</v>
      </c>
      <c r="I22" s="486">
        <f t="shared" si="0"/>
        <v>1030755.5299999998</v>
      </c>
    </row>
    <row r="23" spans="2:9" ht="12">
      <c r="B23" s="487" t="s">
        <v>584</v>
      </c>
      <c r="C23" s="488"/>
      <c r="D23" s="491">
        <f>-SCFG!D20</f>
        <v>0</v>
      </c>
      <c r="E23" s="491">
        <f>-SCFG!F20</f>
        <v>0</v>
      </c>
      <c r="F23" s="506">
        <f t="shared" si="1"/>
        <v>0</v>
      </c>
      <c r="G23" s="507">
        <f>(SCFG!H20+SCFG!I20+SCFG!J20)</f>
        <v>0</v>
      </c>
      <c r="H23" s="507">
        <f>SCFG!J20</f>
        <v>0</v>
      </c>
      <c r="I23" s="486">
        <f t="shared" si="0"/>
        <v>0</v>
      </c>
    </row>
    <row r="24" spans="2:9" ht="12">
      <c r="B24" s="491" t="s">
        <v>585</v>
      </c>
      <c r="C24" s="492"/>
      <c r="D24" s="491">
        <f>-SCFG!D21</f>
        <v>0</v>
      </c>
      <c r="E24" s="491">
        <f>-SCFG!F21</f>
        <v>0</v>
      </c>
      <c r="F24" s="506">
        <f t="shared" si="1"/>
        <v>0</v>
      </c>
      <c r="G24" s="507">
        <f>(SCFG!H21+SCFG!I21+SCFG!J21)</f>
        <v>0</v>
      </c>
      <c r="H24" s="507">
        <f>SCFG!J21</f>
        <v>0</v>
      </c>
      <c r="I24" s="486">
        <f t="shared" si="0"/>
        <v>0</v>
      </c>
    </row>
    <row r="25" spans="2:9" ht="12">
      <c r="B25" s="487" t="s">
        <v>653</v>
      </c>
      <c r="C25" s="488"/>
      <c r="D25" s="491">
        <f>-SCFG!D22</f>
        <v>0</v>
      </c>
      <c r="E25" s="491">
        <f>-SCFG!F22</f>
        <v>0</v>
      </c>
      <c r="F25" s="506">
        <f t="shared" si="1"/>
        <v>0</v>
      </c>
      <c r="G25" s="507">
        <f>(SCFG!H22+SCFG!I22+SCFG!J22)</f>
        <v>0</v>
      </c>
      <c r="H25" s="507">
        <f>SCFG!J22</f>
        <v>0</v>
      </c>
      <c r="I25" s="486">
        <f t="shared" si="0"/>
        <v>0</v>
      </c>
    </row>
    <row r="26" spans="2:9" ht="12">
      <c r="B26" s="491" t="s">
        <v>586</v>
      </c>
      <c r="C26" s="492"/>
      <c r="D26" s="491">
        <f>-SCFG!D23</f>
        <v>0</v>
      </c>
      <c r="E26" s="491">
        <f>-SCFG!F23</f>
        <v>0</v>
      </c>
      <c r="F26" s="506">
        <f t="shared" si="1"/>
        <v>0</v>
      </c>
      <c r="G26" s="507">
        <f>(SCFG!H23+SCFG!I23+SCFG!J23)</f>
        <v>0</v>
      </c>
      <c r="H26" s="507">
        <f>SCFG!J23</f>
        <v>0</v>
      </c>
      <c r="I26" s="486">
        <f t="shared" si="0"/>
        <v>0</v>
      </c>
    </row>
    <row r="27" spans="2:9" ht="12">
      <c r="B27" s="487" t="s">
        <v>587</v>
      </c>
      <c r="C27" s="488"/>
      <c r="D27" s="491">
        <f>-SCFG!D24</f>
        <v>2000000</v>
      </c>
      <c r="E27" s="491">
        <f>-SCFG!F24</f>
        <v>220084.96</v>
      </c>
      <c r="F27" s="506">
        <f t="shared" si="1"/>
        <v>2220084.96</v>
      </c>
      <c r="G27" s="507">
        <f>(SCFG!H24+SCFG!I24+SCFG!J24)</f>
        <v>1189329.4300000002</v>
      </c>
      <c r="H27" s="507">
        <f>SCFG!J24</f>
        <v>1189329.4300000002</v>
      </c>
      <c r="I27" s="486">
        <f t="shared" si="0"/>
        <v>1030755.5299999998</v>
      </c>
    </row>
    <row r="28" spans="2:9" ht="12">
      <c r="B28" s="491" t="s">
        <v>588</v>
      </c>
      <c r="C28" s="492"/>
      <c r="D28" s="491">
        <f>-SCFG!D25</f>
        <v>0</v>
      </c>
      <c r="E28" s="491">
        <f>-SCFG!F25</f>
        <v>0</v>
      </c>
      <c r="F28" s="506">
        <f t="shared" si="1"/>
        <v>0</v>
      </c>
      <c r="G28" s="507">
        <f>(SCFG!H25+SCFG!I25+SCFG!J25)</f>
        <v>0</v>
      </c>
      <c r="H28" s="507">
        <f>SCFG!J25</f>
        <v>0</v>
      </c>
      <c r="I28" s="486">
        <f t="shared" si="0"/>
        <v>0</v>
      </c>
    </row>
    <row r="29" spans="2:9" ht="12">
      <c r="B29" s="491" t="s">
        <v>589</v>
      </c>
      <c r="C29" s="492"/>
      <c r="D29" s="491">
        <f>-SCFG!D26</f>
        <v>0</v>
      </c>
      <c r="E29" s="491">
        <f>-SCFG!F26</f>
        <v>0</v>
      </c>
      <c r="F29" s="506">
        <f t="shared" si="1"/>
        <v>0</v>
      </c>
      <c r="G29" s="507">
        <f>(SCFG!H26+SCFG!I26+SCFG!J26)</f>
        <v>0</v>
      </c>
      <c r="H29" s="507">
        <f>SCFG!J26</f>
        <v>0</v>
      </c>
      <c r="I29" s="486">
        <f t="shared" si="0"/>
        <v>0</v>
      </c>
    </row>
    <row r="30" spans="1:10" s="361" customFormat="1" ht="12">
      <c r="A30" s="305"/>
      <c r="B30" s="489" t="s">
        <v>611</v>
      </c>
      <c r="C30" s="490"/>
      <c r="D30" s="482">
        <f>SUM(D31:D39)</f>
        <v>0</v>
      </c>
      <c r="E30" s="482">
        <f>SUM(E31:E39)</f>
        <v>0</v>
      </c>
      <c r="F30" s="484">
        <f>SUM(F31:F39)</f>
        <v>0</v>
      </c>
      <c r="G30" s="485">
        <f>SUM(G31:G39)</f>
        <v>0</v>
      </c>
      <c r="H30" s="485">
        <f>SUM(H31:H39)</f>
        <v>0</v>
      </c>
      <c r="I30" s="485">
        <f t="shared" si="0"/>
        <v>0</v>
      </c>
      <c r="J30" s="305"/>
    </row>
    <row r="31" spans="2:9" ht="12">
      <c r="B31" s="769" t="s">
        <v>590</v>
      </c>
      <c r="C31" s="770"/>
      <c r="D31" s="491">
        <f>-SCFG!D27</f>
        <v>0</v>
      </c>
      <c r="E31" s="491">
        <f>-SCFG!F27</f>
        <v>0</v>
      </c>
      <c r="F31" s="506">
        <f t="shared" si="1"/>
        <v>0</v>
      </c>
      <c r="G31" s="507">
        <f>(SCFG!H27+SCFG!I27+SCFG!J27)</f>
        <v>0</v>
      </c>
      <c r="H31" s="507">
        <f>SCFG!J27</f>
        <v>0</v>
      </c>
      <c r="I31" s="486">
        <f t="shared" si="0"/>
        <v>0</v>
      </c>
    </row>
    <row r="32" spans="2:9" ht="12">
      <c r="B32" s="491" t="s">
        <v>654</v>
      </c>
      <c r="C32" s="492"/>
      <c r="D32" s="491">
        <f>-SCFG!D28</f>
        <v>0</v>
      </c>
      <c r="E32" s="491">
        <f>-SCFG!F28</f>
        <v>0</v>
      </c>
      <c r="F32" s="506">
        <f t="shared" si="1"/>
        <v>0</v>
      </c>
      <c r="G32" s="507">
        <f>(SCFG!H28+SCFG!I28+SCFG!J28)</f>
        <v>0</v>
      </c>
      <c r="H32" s="507">
        <f>SCFG!J28</f>
        <v>0</v>
      </c>
      <c r="I32" s="486">
        <f t="shared" si="0"/>
        <v>0</v>
      </c>
    </row>
    <row r="33" spans="2:9" ht="12">
      <c r="B33" s="491" t="s">
        <v>655</v>
      </c>
      <c r="C33" s="492"/>
      <c r="D33" s="491">
        <f>-SCFG!D29</f>
        <v>0</v>
      </c>
      <c r="E33" s="491">
        <f>-SCFG!F29</f>
        <v>0</v>
      </c>
      <c r="F33" s="506">
        <f t="shared" si="1"/>
        <v>0</v>
      </c>
      <c r="G33" s="507">
        <f>(SCFG!H29+SCFG!I29+SCFG!J29)</f>
        <v>0</v>
      </c>
      <c r="H33" s="507">
        <f>SCFG!J29</f>
        <v>0</v>
      </c>
      <c r="I33" s="486">
        <f t="shared" si="0"/>
        <v>0</v>
      </c>
    </row>
    <row r="34" spans="2:9" ht="12">
      <c r="B34" s="491" t="s">
        <v>656</v>
      </c>
      <c r="C34" s="492"/>
      <c r="D34" s="491">
        <f>-SCFG!D30</f>
        <v>0</v>
      </c>
      <c r="E34" s="491">
        <f>-SCFG!F30</f>
        <v>0</v>
      </c>
      <c r="F34" s="506">
        <f t="shared" si="1"/>
        <v>0</v>
      </c>
      <c r="G34" s="507">
        <f>(SCFG!H30+SCFG!I30+SCFG!J30)</f>
        <v>0</v>
      </c>
      <c r="H34" s="507">
        <f>SCFG!J30</f>
        <v>0</v>
      </c>
      <c r="I34" s="486">
        <f t="shared" si="0"/>
        <v>0</v>
      </c>
    </row>
    <row r="35" spans="2:9" ht="12">
      <c r="B35" s="491" t="s">
        <v>657</v>
      </c>
      <c r="C35" s="492"/>
      <c r="D35" s="491">
        <f>-SCFG!D31</f>
        <v>0</v>
      </c>
      <c r="E35" s="491">
        <f>-SCFG!F31</f>
        <v>0</v>
      </c>
      <c r="F35" s="506">
        <f t="shared" si="1"/>
        <v>0</v>
      </c>
      <c r="G35" s="507">
        <f>(SCFG!H31+SCFG!I31+SCFG!J31)</f>
        <v>0</v>
      </c>
      <c r="H35" s="507">
        <f>SCFG!J31</f>
        <v>0</v>
      </c>
      <c r="I35" s="486">
        <f t="shared" si="0"/>
        <v>0</v>
      </c>
    </row>
    <row r="36" spans="2:9" ht="12">
      <c r="B36" s="491" t="s">
        <v>658</v>
      </c>
      <c r="C36" s="492"/>
      <c r="D36" s="491">
        <f>-SCFG!D32</f>
        <v>0</v>
      </c>
      <c r="E36" s="491">
        <f>-SCFG!F32</f>
        <v>0</v>
      </c>
      <c r="F36" s="506">
        <f t="shared" si="1"/>
        <v>0</v>
      </c>
      <c r="G36" s="507">
        <f>(SCFG!H32+SCFG!I32+SCFG!J32)</f>
        <v>0</v>
      </c>
      <c r="H36" s="507">
        <f>SCFG!J32</f>
        <v>0</v>
      </c>
      <c r="I36" s="486">
        <f t="shared" si="0"/>
        <v>0</v>
      </c>
    </row>
    <row r="37" spans="2:9" ht="12">
      <c r="B37" s="491" t="s">
        <v>659</v>
      </c>
      <c r="C37" s="492"/>
      <c r="D37" s="491">
        <f>-SCFG!D33</f>
        <v>0</v>
      </c>
      <c r="E37" s="491">
        <f>-SCFG!F33</f>
        <v>0</v>
      </c>
      <c r="F37" s="506">
        <f t="shared" si="1"/>
        <v>0</v>
      </c>
      <c r="G37" s="507">
        <f>(SCFG!H33+SCFG!I33+SCFG!J33)</f>
        <v>0</v>
      </c>
      <c r="H37" s="507">
        <f>SCFG!J33</f>
        <v>0</v>
      </c>
      <c r="I37" s="486">
        <f t="shared" si="0"/>
        <v>0</v>
      </c>
    </row>
    <row r="38" spans="2:9" ht="12">
      <c r="B38" s="491" t="s">
        <v>660</v>
      </c>
      <c r="C38" s="492"/>
      <c r="D38" s="491">
        <f>-SCFG!D34</f>
        <v>0</v>
      </c>
      <c r="E38" s="491">
        <f>-SCFG!F34</f>
        <v>0</v>
      </c>
      <c r="F38" s="506">
        <f t="shared" si="1"/>
        <v>0</v>
      </c>
      <c r="G38" s="507">
        <f>(SCFG!H34+SCFG!I34+SCFG!J34)</f>
        <v>0</v>
      </c>
      <c r="H38" s="507">
        <f>SCFG!J34</f>
        <v>0</v>
      </c>
      <c r="I38" s="486">
        <f t="shared" si="0"/>
        <v>0</v>
      </c>
    </row>
    <row r="39" spans="2:9" ht="12">
      <c r="B39" s="491" t="s">
        <v>661</v>
      </c>
      <c r="C39" s="492"/>
      <c r="D39" s="491">
        <f>-SCFG!D35</f>
        <v>0</v>
      </c>
      <c r="E39" s="491">
        <f>-SCFG!F35</f>
        <v>0</v>
      </c>
      <c r="F39" s="506">
        <f t="shared" si="1"/>
        <v>0</v>
      </c>
      <c r="G39" s="507">
        <f>(SCFG!H35+SCFG!I35+SCFG!J35)</f>
        <v>0</v>
      </c>
      <c r="H39" s="507">
        <f>SCFG!J35</f>
        <v>0</v>
      </c>
      <c r="I39" s="486">
        <f t="shared" si="0"/>
        <v>0</v>
      </c>
    </row>
    <row r="40" spans="1:10" s="361" customFormat="1" ht="12">
      <c r="A40" s="305"/>
      <c r="B40" s="489" t="s">
        <v>759</v>
      </c>
      <c r="C40" s="490"/>
      <c r="D40" s="493">
        <f>+D41+D42+D43+D44</f>
        <v>0</v>
      </c>
      <c r="E40" s="493">
        <f>+E41+E42+E43+E44</f>
        <v>0</v>
      </c>
      <c r="F40" s="494">
        <f>+F41+F42+F43+F44</f>
        <v>0</v>
      </c>
      <c r="G40" s="495">
        <f>+G41+G42+G43+G44</f>
        <v>0</v>
      </c>
      <c r="H40" s="495">
        <f>+H41+H42+H43+H44</f>
        <v>0</v>
      </c>
      <c r="I40" s="496">
        <f t="shared" si="0"/>
        <v>0</v>
      </c>
      <c r="J40" s="305"/>
    </row>
    <row r="41" spans="2:9" ht="12">
      <c r="B41" s="773" t="s">
        <v>613</v>
      </c>
      <c r="C41" s="774"/>
      <c r="D41" s="491">
        <f>-SCFG!D36</f>
        <v>0</v>
      </c>
      <c r="E41" s="491">
        <f>-SCFG!F36</f>
        <v>0</v>
      </c>
      <c r="F41" s="506">
        <f t="shared" si="1"/>
        <v>0</v>
      </c>
      <c r="G41" s="507">
        <f>(SCFG!H36+SCFG!I36+SCFG!J36)</f>
        <v>0</v>
      </c>
      <c r="H41" s="507">
        <f>SCFG!J36</f>
        <v>0</v>
      </c>
      <c r="I41" s="486">
        <f t="shared" si="0"/>
        <v>0</v>
      </c>
    </row>
    <row r="42" spans="2:9" ht="12">
      <c r="B42" s="769" t="s">
        <v>662</v>
      </c>
      <c r="C42" s="770"/>
      <c r="D42" s="491">
        <f>-SCFG!D37</f>
        <v>0</v>
      </c>
      <c r="E42" s="491">
        <f>-SCFG!F37</f>
        <v>0</v>
      </c>
      <c r="F42" s="506">
        <f t="shared" si="1"/>
        <v>0</v>
      </c>
      <c r="G42" s="507">
        <f>(SCFG!H37+SCFG!I37+SCFG!J37)</f>
        <v>0</v>
      </c>
      <c r="H42" s="507">
        <f>SCFG!J37</f>
        <v>0</v>
      </c>
      <c r="I42" s="486">
        <f t="shared" si="0"/>
        <v>0</v>
      </c>
    </row>
    <row r="43" spans="2:9" ht="12">
      <c r="B43" s="491" t="s">
        <v>599</v>
      </c>
      <c r="C43" s="492"/>
      <c r="D43" s="491">
        <f>-SCFG!D38</f>
        <v>0</v>
      </c>
      <c r="E43" s="491">
        <f>-SCFG!F38</f>
        <v>0</v>
      </c>
      <c r="F43" s="506">
        <f t="shared" si="1"/>
        <v>0</v>
      </c>
      <c r="G43" s="507">
        <f>(SCFG!H38+SCFG!I38+SCFG!J38)</f>
        <v>0</v>
      </c>
      <c r="H43" s="507">
        <f>SCFG!J38</f>
        <v>0</v>
      </c>
      <c r="I43" s="486">
        <f t="shared" si="0"/>
        <v>0</v>
      </c>
    </row>
    <row r="44" spans="2:9" ht="12">
      <c r="B44" s="491" t="s">
        <v>600</v>
      </c>
      <c r="C44" s="492"/>
      <c r="D44" s="491">
        <f>-SCFG!D39</f>
        <v>0</v>
      </c>
      <c r="E44" s="491">
        <f>-SCFG!F39</f>
        <v>0</v>
      </c>
      <c r="F44" s="506">
        <f t="shared" si="1"/>
        <v>0</v>
      </c>
      <c r="G44" s="507">
        <f>(SCFG!H39+SCFG!I39+SCFG!J39)</f>
        <v>0</v>
      </c>
      <c r="H44" s="507">
        <f>SCFG!J39</f>
        <v>0</v>
      </c>
      <c r="I44" s="486">
        <f t="shared" si="0"/>
        <v>0</v>
      </c>
    </row>
    <row r="45" spans="2:9" ht="12">
      <c r="B45" s="489" t="s">
        <v>601</v>
      </c>
      <c r="C45" s="490"/>
      <c r="D45" s="489">
        <f>+D46+D55+D63+D73</f>
        <v>7000457993</v>
      </c>
      <c r="E45" s="489">
        <f>+E46+E55+E63+E73</f>
        <v>156747576.24</v>
      </c>
      <c r="F45" s="497">
        <f>+F46+F55+F63+F73</f>
        <v>7157205569.24</v>
      </c>
      <c r="G45" s="498">
        <f>+G46+G55+G63+G73</f>
        <v>3841973434.43</v>
      </c>
      <c r="H45" s="498">
        <f>+H46+H55+H63+H73</f>
        <v>709672974.33</v>
      </c>
      <c r="I45" s="485">
        <f aca="true" t="shared" si="2" ref="I45:I78">+F45-G45</f>
        <v>3315232134.81</v>
      </c>
    </row>
    <row r="46" spans="1:10" s="361" customFormat="1" ht="12">
      <c r="A46" s="305"/>
      <c r="B46" s="489" t="s">
        <v>575</v>
      </c>
      <c r="C46" s="490"/>
      <c r="D46" s="489">
        <f>SUM(D47:D54)</f>
        <v>0</v>
      </c>
      <c r="E46" s="489">
        <f>SUM(E47:E54)</f>
        <v>0</v>
      </c>
      <c r="F46" s="497">
        <f>SUM(F47:F54)</f>
        <v>0</v>
      </c>
      <c r="G46" s="498">
        <f>SUM(G47:G54)</f>
        <v>0</v>
      </c>
      <c r="H46" s="498">
        <f>SUM(H47:H54)</f>
        <v>0</v>
      </c>
      <c r="I46" s="485">
        <f t="shared" si="2"/>
        <v>0</v>
      </c>
      <c r="J46" s="305"/>
    </row>
    <row r="47" spans="2:9" ht="12">
      <c r="B47" s="491" t="s">
        <v>602</v>
      </c>
      <c r="C47" s="492"/>
      <c r="D47" s="491">
        <f>-SCFG!D42</f>
        <v>0</v>
      </c>
      <c r="E47" s="491">
        <f>-SCFG!F42</f>
        <v>0</v>
      </c>
      <c r="F47" s="506">
        <f aca="true" t="shared" si="3" ref="F47:F54">+D47+E47</f>
        <v>0</v>
      </c>
      <c r="G47" s="507">
        <f>(SCFG!H42+SCFG!I42+SCFG!J42)</f>
        <v>0</v>
      </c>
      <c r="H47" s="507">
        <f>SCFG!J42</f>
        <v>0</v>
      </c>
      <c r="I47" s="486">
        <f t="shared" si="2"/>
        <v>0</v>
      </c>
    </row>
    <row r="48" spans="2:9" ht="12">
      <c r="B48" s="491" t="s">
        <v>603</v>
      </c>
      <c r="C48" s="492"/>
      <c r="D48" s="491">
        <f>-SCFG!D43</f>
        <v>0</v>
      </c>
      <c r="E48" s="491">
        <f>-SCFG!F43</f>
        <v>0</v>
      </c>
      <c r="F48" s="506">
        <f t="shared" si="3"/>
        <v>0</v>
      </c>
      <c r="G48" s="507">
        <f>(SCFG!H43+SCFG!I43+SCFG!J43)</f>
        <v>0</v>
      </c>
      <c r="H48" s="507">
        <f>SCFG!J43</f>
        <v>0</v>
      </c>
      <c r="I48" s="486">
        <f t="shared" si="2"/>
        <v>0</v>
      </c>
    </row>
    <row r="49" spans="2:9" ht="12">
      <c r="B49" s="769" t="s">
        <v>604</v>
      </c>
      <c r="C49" s="770"/>
      <c r="D49" s="491">
        <f>-SCFG!D44</f>
        <v>0</v>
      </c>
      <c r="E49" s="491">
        <f>-SCFG!F44</f>
        <v>0</v>
      </c>
      <c r="F49" s="506">
        <f t="shared" si="3"/>
        <v>0</v>
      </c>
      <c r="G49" s="507">
        <f>(SCFG!H44+SCFG!I44+SCFG!J44)</f>
        <v>0</v>
      </c>
      <c r="H49" s="507">
        <f>SCFG!J44</f>
        <v>0</v>
      </c>
      <c r="I49" s="486">
        <f t="shared" si="2"/>
        <v>0</v>
      </c>
    </row>
    <row r="50" spans="2:9" ht="12">
      <c r="B50" s="491" t="s">
        <v>605</v>
      </c>
      <c r="C50" s="492"/>
      <c r="D50" s="491">
        <f>-SCFG!D45</f>
        <v>0</v>
      </c>
      <c r="E50" s="491">
        <f>-SCFG!F45</f>
        <v>0</v>
      </c>
      <c r="F50" s="506">
        <f t="shared" si="3"/>
        <v>0</v>
      </c>
      <c r="G50" s="507">
        <f>(SCFG!H45+SCFG!I45+SCFG!J45)</f>
        <v>0</v>
      </c>
      <c r="H50" s="507">
        <f>SCFG!J45</f>
        <v>0</v>
      </c>
      <c r="I50" s="486">
        <f t="shared" si="2"/>
        <v>0</v>
      </c>
    </row>
    <row r="51" spans="2:9" ht="12">
      <c r="B51" s="491" t="s">
        <v>606</v>
      </c>
      <c r="C51" s="492"/>
      <c r="D51" s="491">
        <f>-SCFG!D46</f>
        <v>0</v>
      </c>
      <c r="E51" s="491">
        <f>-SCFG!F46</f>
        <v>0</v>
      </c>
      <c r="F51" s="506">
        <f t="shared" si="3"/>
        <v>0</v>
      </c>
      <c r="G51" s="507">
        <f>(SCFG!H46+SCFG!I46+SCFG!J46)</f>
        <v>0</v>
      </c>
      <c r="H51" s="507">
        <f>SCFG!J46</f>
        <v>0</v>
      </c>
      <c r="I51" s="486">
        <f t="shared" si="2"/>
        <v>0</v>
      </c>
    </row>
    <row r="52" spans="2:9" ht="12">
      <c r="B52" s="487" t="s">
        <v>607</v>
      </c>
      <c r="C52" s="488"/>
      <c r="D52" s="491">
        <f>-SCFG!D47</f>
        <v>0</v>
      </c>
      <c r="E52" s="491">
        <f>-SCFG!F47</f>
        <v>0</v>
      </c>
      <c r="F52" s="506">
        <f t="shared" si="3"/>
        <v>0</v>
      </c>
      <c r="G52" s="507">
        <f>(SCFG!H47+SCFG!I47+SCFG!J47)</f>
        <v>0</v>
      </c>
      <c r="H52" s="507">
        <f>SCFG!J47</f>
        <v>0</v>
      </c>
      <c r="I52" s="486">
        <f t="shared" si="2"/>
        <v>0</v>
      </c>
    </row>
    <row r="53" spans="2:9" ht="12">
      <c r="B53" s="769" t="s">
        <v>608</v>
      </c>
      <c r="C53" s="770"/>
      <c r="D53" s="491">
        <f>-SCFG!D48</f>
        <v>0</v>
      </c>
      <c r="E53" s="491">
        <f>-SCFG!F48</f>
        <v>0</v>
      </c>
      <c r="F53" s="506">
        <f t="shared" si="3"/>
        <v>0</v>
      </c>
      <c r="G53" s="507">
        <f>(SCFG!H48+SCFG!I48+SCFG!J48)</f>
        <v>0</v>
      </c>
      <c r="H53" s="507">
        <f>SCFG!J48</f>
        <v>0</v>
      </c>
      <c r="I53" s="486">
        <f t="shared" si="2"/>
        <v>0</v>
      </c>
    </row>
    <row r="54" spans="2:9" ht="12">
      <c r="B54" s="487" t="s">
        <v>609</v>
      </c>
      <c r="C54" s="488"/>
      <c r="D54" s="491">
        <f>-SCFG!D49</f>
        <v>0</v>
      </c>
      <c r="E54" s="491">
        <f>-SCFG!F49</f>
        <v>0</v>
      </c>
      <c r="F54" s="506">
        <f t="shared" si="3"/>
        <v>0</v>
      </c>
      <c r="G54" s="507">
        <f>(SCFG!H49+SCFG!I49+SCFG!J49)</f>
        <v>0</v>
      </c>
      <c r="H54" s="507">
        <f>SCFG!J49</f>
        <v>0</v>
      </c>
      <c r="I54" s="486">
        <f t="shared" si="2"/>
        <v>0</v>
      </c>
    </row>
    <row r="55" spans="1:10" s="361" customFormat="1" ht="12">
      <c r="A55" s="305"/>
      <c r="B55" s="499" t="s">
        <v>583</v>
      </c>
      <c r="C55" s="500"/>
      <c r="D55" s="489">
        <f>SUM(D56:D62)</f>
        <v>7000457993</v>
      </c>
      <c r="E55" s="489">
        <f>SUM(E56:E62)</f>
        <v>156747576.24</v>
      </c>
      <c r="F55" s="497">
        <f>SUM(F56:F62)</f>
        <v>7157205569.24</v>
      </c>
      <c r="G55" s="498">
        <f>SUM(G56:G62)</f>
        <v>3841973434.43</v>
      </c>
      <c r="H55" s="498">
        <f>SUM(H56:H62)</f>
        <v>709672974.33</v>
      </c>
      <c r="I55" s="485">
        <f t="shared" si="2"/>
        <v>3315232134.81</v>
      </c>
      <c r="J55" s="305"/>
    </row>
    <row r="56" spans="2:9" ht="12">
      <c r="B56" s="491" t="s">
        <v>646</v>
      </c>
      <c r="C56" s="492"/>
      <c r="D56" s="491">
        <f>-SCFG!D50</f>
        <v>0</v>
      </c>
      <c r="E56" s="491">
        <f>-SCFG!F50</f>
        <v>0</v>
      </c>
      <c r="F56" s="506">
        <f aca="true" t="shared" si="4" ref="F56:F62">+D56+E56</f>
        <v>0</v>
      </c>
      <c r="G56" s="507">
        <f>(SCFG!H50+SCFG!I50+SCFG!J50)</f>
        <v>0</v>
      </c>
      <c r="H56" s="507">
        <f>SCFG!J50</f>
        <v>0</v>
      </c>
      <c r="I56" s="486">
        <f t="shared" si="2"/>
        <v>0</v>
      </c>
    </row>
    <row r="57" spans="2:9" ht="12">
      <c r="B57" s="491" t="s">
        <v>647</v>
      </c>
      <c r="C57" s="492"/>
      <c r="D57" s="491">
        <f>-SCFG!D51</f>
        <v>0</v>
      </c>
      <c r="E57" s="491">
        <f>-SCFG!F51</f>
        <v>0</v>
      </c>
      <c r="F57" s="506">
        <f t="shared" si="4"/>
        <v>0</v>
      </c>
      <c r="G57" s="507">
        <f>(SCFG!H51+SCFG!I51+SCFG!J51)</f>
        <v>0</v>
      </c>
      <c r="H57" s="507">
        <f>SCFG!J51</f>
        <v>0</v>
      </c>
      <c r="I57" s="486">
        <f t="shared" si="2"/>
        <v>0</v>
      </c>
    </row>
    <row r="58" spans="2:9" ht="12">
      <c r="B58" s="491" t="s">
        <v>648</v>
      </c>
      <c r="C58" s="492"/>
      <c r="D58" s="491">
        <f>-SCFG!D52</f>
        <v>0</v>
      </c>
      <c r="E58" s="491">
        <f>-SCFG!F52</f>
        <v>0</v>
      </c>
      <c r="F58" s="506">
        <f t="shared" si="4"/>
        <v>0</v>
      </c>
      <c r="G58" s="507">
        <f>(SCFG!H52+SCFG!I52+SCFG!J52)</f>
        <v>0</v>
      </c>
      <c r="H58" s="507">
        <f>SCFG!J52</f>
        <v>0</v>
      </c>
      <c r="I58" s="486">
        <f t="shared" si="2"/>
        <v>0</v>
      </c>
    </row>
    <row r="59" spans="2:9" ht="12">
      <c r="B59" s="769" t="s">
        <v>649</v>
      </c>
      <c r="C59" s="770"/>
      <c r="D59" s="491">
        <f>-SCFG!D53</f>
        <v>0</v>
      </c>
      <c r="E59" s="491">
        <f>-SCFG!F53</f>
        <v>0</v>
      </c>
      <c r="F59" s="506">
        <f t="shared" si="4"/>
        <v>0</v>
      </c>
      <c r="G59" s="507">
        <f>(SCFG!H53+SCFG!I53+SCFG!J53)</f>
        <v>0</v>
      </c>
      <c r="H59" s="507">
        <f>SCFG!J53</f>
        <v>0</v>
      </c>
      <c r="I59" s="486">
        <f t="shared" si="2"/>
        <v>0</v>
      </c>
    </row>
    <row r="60" spans="2:9" ht="12">
      <c r="B60" s="487" t="s">
        <v>650</v>
      </c>
      <c r="C60" s="488"/>
      <c r="D60" s="491">
        <f>-SCFG!D54</f>
        <v>7000457993</v>
      </c>
      <c r="E60" s="491">
        <f>-SCFG!F54</f>
        <v>156747576.24</v>
      </c>
      <c r="F60" s="506">
        <f t="shared" si="4"/>
        <v>7157205569.24</v>
      </c>
      <c r="G60" s="507">
        <f>(SCFG!H54+SCFG!I54+SCFG!J54)</f>
        <v>3841973434.43</v>
      </c>
      <c r="H60" s="507">
        <f>SCFG!J54</f>
        <v>709672974.33</v>
      </c>
      <c r="I60" s="486">
        <f t="shared" si="2"/>
        <v>3315232134.81</v>
      </c>
    </row>
    <row r="61" spans="2:9" ht="12">
      <c r="B61" s="487" t="s">
        <v>651</v>
      </c>
      <c r="C61" s="488"/>
      <c r="D61" s="491">
        <f>-SCFG!D55</f>
        <v>0</v>
      </c>
      <c r="E61" s="491">
        <f>-SCFG!F55</f>
        <v>0</v>
      </c>
      <c r="F61" s="506">
        <f t="shared" si="4"/>
        <v>0</v>
      </c>
      <c r="G61" s="507">
        <f>(SCFG!H55+SCFG!I55+SCFG!J55)</f>
        <v>0</v>
      </c>
      <c r="H61" s="507">
        <f>SCFG!J55</f>
        <v>0</v>
      </c>
      <c r="I61" s="486">
        <f t="shared" si="2"/>
        <v>0</v>
      </c>
    </row>
    <row r="62" spans="2:9" ht="12">
      <c r="B62" s="491" t="s">
        <v>610</v>
      </c>
      <c r="C62" s="492"/>
      <c r="D62" s="491">
        <f>-SCFG!D56</f>
        <v>0</v>
      </c>
      <c r="E62" s="491">
        <f>-SCFG!F56</f>
        <v>0</v>
      </c>
      <c r="F62" s="506">
        <f t="shared" si="4"/>
        <v>0</v>
      </c>
      <c r="G62" s="507">
        <f>(SCFG!H56+SCFG!I56+SCFG!J56)</f>
        <v>0</v>
      </c>
      <c r="H62" s="507">
        <f>SCFG!J56</f>
        <v>0</v>
      </c>
      <c r="I62" s="486">
        <f t="shared" si="2"/>
        <v>0</v>
      </c>
    </row>
    <row r="63" spans="1:10" s="361" customFormat="1" ht="12">
      <c r="A63" s="305"/>
      <c r="B63" s="771" t="s">
        <v>611</v>
      </c>
      <c r="C63" s="772"/>
      <c r="D63" s="489">
        <f>SUM(D64:D72)</f>
        <v>0</v>
      </c>
      <c r="E63" s="489">
        <f>SUM(E64:E72)</f>
        <v>0</v>
      </c>
      <c r="F63" s="497">
        <f>SUM(F64:F72)</f>
        <v>0</v>
      </c>
      <c r="G63" s="498">
        <f>SUM(G64:G72)</f>
        <v>0</v>
      </c>
      <c r="H63" s="498">
        <f>SUM(H64:H72)</f>
        <v>0</v>
      </c>
      <c r="I63" s="485">
        <f t="shared" si="2"/>
        <v>0</v>
      </c>
      <c r="J63" s="305"/>
    </row>
    <row r="64" spans="2:9" ht="12">
      <c r="B64" s="491" t="s">
        <v>612</v>
      </c>
      <c r="C64" s="492"/>
      <c r="D64" s="491">
        <f>-SCFG!D57</f>
        <v>0</v>
      </c>
      <c r="E64" s="491">
        <f>-SCFG!F57</f>
        <v>0</v>
      </c>
      <c r="F64" s="506">
        <f aca="true" t="shared" si="5" ref="F64:F72">+D64+E64</f>
        <v>0</v>
      </c>
      <c r="G64" s="507">
        <f>(SCFG!H57+SCFG!I57+SCFG!J57)</f>
        <v>0</v>
      </c>
      <c r="H64" s="507">
        <f>SCFG!J57</f>
        <v>0</v>
      </c>
      <c r="I64" s="486">
        <f t="shared" si="2"/>
        <v>0</v>
      </c>
    </row>
    <row r="65" spans="2:9" ht="12">
      <c r="B65" s="491" t="s">
        <v>591</v>
      </c>
      <c r="C65" s="492"/>
      <c r="D65" s="491">
        <f>-SCFG!D58</f>
        <v>0</v>
      </c>
      <c r="E65" s="491">
        <f>-SCFG!F58</f>
        <v>0</v>
      </c>
      <c r="F65" s="506">
        <f t="shared" si="5"/>
        <v>0</v>
      </c>
      <c r="G65" s="507">
        <f>(SCFG!H58+SCFG!I58+SCFG!J58)</f>
        <v>0</v>
      </c>
      <c r="H65" s="507">
        <f>SCFG!J58</f>
        <v>0</v>
      </c>
      <c r="I65" s="486">
        <f t="shared" si="2"/>
        <v>0</v>
      </c>
    </row>
    <row r="66" spans="2:9" ht="12">
      <c r="B66" s="491" t="s">
        <v>592</v>
      </c>
      <c r="C66" s="492"/>
      <c r="D66" s="491">
        <f>-SCFG!D59</f>
        <v>0</v>
      </c>
      <c r="E66" s="491">
        <f>-SCFG!F59</f>
        <v>0</v>
      </c>
      <c r="F66" s="506">
        <f t="shared" si="5"/>
        <v>0</v>
      </c>
      <c r="G66" s="507">
        <f>(SCFG!H59+SCFG!I59+SCFG!J59)</f>
        <v>0</v>
      </c>
      <c r="H66" s="507">
        <f>SCFG!J59</f>
        <v>0</v>
      </c>
      <c r="I66" s="486">
        <f t="shared" si="2"/>
        <v>0</v>
      </c>
    </row>
    <row r="67" spans="2:9" ht="12">
      <c r="B67" s="491" t="s">
        <v>593</v>
      </c>
      <c r="C67" s="492"/>
      <c r="D67" s="491">
        <f>-SCFG!D60</f>
        <v>0</v>
      </c>
      <c r="E67" s="491">
        <f>-SCFG!F60</f>
        <v>0</v>
      </c>
      <c r="F67" s="506">
        <f t="shared" si="5"/>
        <v>0</v>
      </c>
      <c r="G67" s="507">
        <f>(SCFG!H60+SCFG!I60+SCFG!J60)</f>
        <v>0</v>
      </c>
      <c r="H67" s="507">
        <f>SCFG!J60</f>
        <v>0</v>
      </c>
      <c r="I67" s="486">
        <f t="shared" si="2"/>
        <v>0</v>
      </c>
    </row>
    <row r="68" spans="2:9" ht="12">
      <c r="B68" s="491" t="s">
        <v>594</v>
      </c>
      <c r="C68" s="492"/>
      <c r="D68" s="491">
        <f>-SCFG!D61</f>
        <v>0</v>
      </c>
      <c r="E68" s="491">
        <f>-SCFG!F61</f>
        <v>0</v>
      </c>
      <c r="F68" s="506">
        <f t="shared" si="5"/>
        <v>0</v>
      </c>
      <c r="G68" s="507">
        <f>(SCFG!H61+SCFG!I61+SCFG!J61)</f>
        <v>0</v>
      </c>
      <c r="H68" s="507">
        <f>SCFG!J61</f>
        <v>0</v>
      </c>
      <c r="I68" s="486">
        <f t="shared" si="2"/>
        <v>0</v>
      </c>
    </row>
    <row r="69" spans="2:9" ht="12">
      <c r="B69" s="487" t="s">
        <v>595</v>
      </c>
      <c r="C69" s="488"/>
      <c r="D69" s="491">
        <f>-SCFG!D62</f>
        <v>0</v>
      </c>
      <c r="E69" s="491">
        <f>-SCFG!F62</f>
        <v>0</v>
      </c>
      <c r="F69" s="506">
        <f t="shared" si="5"/>
        <v>0</v>
      </c>
      <c r="G69" s="507">
        <f>(SCFG!H62+SCFG!I62+SCFG!J62)</f>
        <v>0</v>
      </c>
      <c r="H69" s="507">
        <f>SCFG!J62</f>
        <v>0</v>
      </c>
      <c r="I69" s="486">
        <f t="shared" si="2"/>
        <v>0</v>
      </c>
    </row>
    <row r="70" spans="2:9" ht="12">
      <c r="B70" s="487" t="s">
        <v>596</v>
      </c>
      <c r="C70" s="488"/>
      <c r="D70" s="491">
        <f>-SCFG!D63</f>
        <v>0</v>
      </c>
      <c r="E70" s="491">
        <f>-SCFG!F63</f>
        <v>0</v>
      </c>
      <c r="F70" s="506">
        <f t="shared" si="5"/>
        <v>0</v>
      </c>
      <c r="G70" s="507">
        <f>(SCFG!H63+SCFG!I63+SCFG!J63)</f>
        <v>0</v>
      </c>
      <c r="H70" s="507">
        <f>SCFG!J63</f>
        <v>0</v>
      </c>
      <c r="I70" s="486">
        <f t="shared" si="2"/>
        <v>0</v>
      </c>
    </row>
    <row r="71" spans="2:9" ht="12" customHeight="1">
      <c r="B71" s="487" t="s">
        <v>597</v>
      </c>
      <c r="C71" s="488"/>
      <c r="D71" s="491">
        <f>-SCFG!D64</f>
        <v>0</v>
      </c>
      <c r="E71" s="491">
        <f>-SCFG!F64</f>
        <v>0</v>
      </c>
      <c r="F71" s="506">
        <f t="shared" si="5"/>
        <v>0</v>
      </c>
      <c r="G71" s="507">
        <f>(SCFG!H64+SCFG!I64+SCFG!J64)</f>
        <v>0</v>
      </c>
      <c r="H71" s="507">
        <f>SCFG!J64</f>
        <v>0</v>
      </c>
      <c r="I71" s="486">
        <f t="shared" si="2"/>
        <v>0</v>
      </c>
    </row>
    <row r="72" spans="2:9" ht="12">
      <c r="B72" s="491" t="s">
        <v>598</v>
      </c>
      <c r="C72" s="492"/>
      <c r="D72" s="491">
        <f>-SCFG!D65</f>
        <v>0</v>
      </c>
      <c r="E72" s="491">
        <f>-SCFG!F65</f>
        <v>0</v>
      </c>
      <c r="F72" s="506">
        <f t="shared" si="5"/>
        <v>0</v>
      </c>
      <c r="G72" s="507">
        <f>(SCFG!H65+SCFG!I65+SCFG!J65)</f>
        <v>0</v>
      </c>
      <c r="H72" s="507">
        <f>SCFG!J65</f>
        <v>0</v>
      </c>
      <c r="I72" s="486">
        <f t="shared" si="2"/>
        <v>0</v>
      </c>
    </row>
    <row r="73" spans="1:10" s="361" customFormat="1" ht="12">
      <c r="A73" s="305"/>
      <c r="B73" s="489" t="s">
        <v>645</v>
      </c>
      <c r="C73" s="490"/>
      <c r="D73" s="493">
        <f>SUM(D74:D77)</f>
        <v>0</v>
      </c>
      <c r="E73" s="493">
        <f>SUM(E74:E77)</f>
        <v>0</v>
      </c>
      <c r="F73" s="494">
        <f>SUM(F74:F77)</f>
        <v>0</v>
      </c>
      <c r="G73" s="495">
        <f>SUM(G74:G77)</f>
        <v>0</v>
      </c>
      <c r="H73" s="495">
        <f>SUM(H74:H77)</f>
        <v>0</v>
      </c>
      <c r="I73" s="485">
        <f t="shared" si="2"/>
        <v>0</v>
      </c>
      <c r="J73" s="305"/>
    </row>
    <row r="74" spans="2:9" ht="12">
      <c r="B74" s="491" t="s">
        <v>613</v>
      </c>
      <c r="C74" s="492"/>
      <c r="D74" s="491">
        <f>-SCFG!D66</f>
        <v>0</v>
      </c>
      <c r="E74" s="491">
        <f>-SCFG!F66</f>
        <v>0</v>
      </c>
      <c r="F74" s="506">
        <f>+D74+E74</f>
        <v>0</v>
      </c>
      <c r="G74" s="507">
        <f>(SCFG!H66+SCFG!I66+SCFG!J66)</f>
        <v>0</v>
      </c>
      <c r="H74" s="507">
        <f>SCFG!J66</f>
        <v>0</v>
      </c>
      <c r="I74" s="486">
        <f t="shared" si="2"/>
        <v>0</v>
      </c>
    </row>
    <row r="75" spans="2:9" ht="12">
      <c r="B75" s="491" t="s">
        <v>662</v>
      </c>
      <c r="C75" s="492"/>
      <c r="D75" s="491">
        <f>-SCFG!D67</f>
        <v>0</v>
      </c>
      <c r="E75" s="491">
        <f>-SCFG!F67</f>
        <v>0</v>
      </c>
      <c r="F75" s="506">
        <f>+D75+E75</f>
        <v>0</v>
      </c>
      <c r="G75" s="507">
        <f>(SCFG!H67+SCFG!I67+SCFG!J67)</f>
        <v>0</v>
      </c>
      <c r="H75" s="507">
        <f>SCFG!J67</f>
        <v>0</v>
      </c>
      <c r="I75" s="486">
        <f t="shared" si="2"/>
        <v>0</v>
      </c>
    </row>
    <row r="76" spans="2:9" ht="12">
      <c r="B76" s="491" t="s">
        <v>599</v>
      </c>
      <c r="C76" s="492"/>
      <c r="D76" s="491">
        <f>-SCFG!D68</f>
        <v>0</v>
      </c>
      <c r="E76" s="491">
        <f>-SCFG!F68</f>
        <v>0</v>
      </c>
      <c r="F76" s="506">
        <f>+D76+E76</f>
        <v>0</v>
      </c>
      <c r="G76" s="507">
        <f>(SCFG!H68+SCFG!I68+SCFG!J68)</f>
        <v>0</v>
      </c>
      <c r="H76" s="507">
        <f>SCFG!J68</f>
        <v>0</v>
      </c>
      <c r="I76" s="486">
        <f t="shared" si="2"/>
        <v>0</v>
      </c>
    </row>
    <row r="77" spans="2:9" ht="12">
      <c r="B77" s="491" t="s">
        <v>600</v>
      </c>
      <c r="C77" s="492"/>
      <c r="D77" s="491">
        <f>-SCFG!D69</f>
        <v>0</v>
      </c>
      <c r="E77" s="491">
        <f>-SCFG!F69</f>
        <v>0</v>
      </c>
      <c r="F77" s="506">
        <f>+D77+E77</f>
        <v>0</v>
      </c>
      <c r="G77" s="507">
        <f>(SCFG!H69+SCFG!I69+SCFG!J69)</f>
        <v>0</v>
      </c>
      <c r="H77" s="507">
        <f>SCFG!J69</f>
        <v>0</v>
      </c>
      <c r="I77" s="486">
        <f t="shared" si="2"/>
        <v>0</v>
      </c>
    </row>
    <row r="78" spans="2:9" ht="12">
      <c r="B78" s="489" t="s">
        <v>568</v>
      </c>
      <c r="C78" s="490"/>
      <c r="D78" s="489">
        <f>+D12+D45</f>
        <v>7002457993</v>
      </c>
      <c r="E78" s="489">
        <f>+E12+E45</f>
        <v>156967661.20000002</v>
      </c>
      <c r="F78" s="497">
        <f>+F12+F45</f>
        <v>7159425654.2</v>
      </c>
      <c r="G78" s="498">
        <f>+G12+G45</f>
        <v>3843162763.8599997</v>
      </c>
      <c r="H78" s="498">
        <f>+H12+H45</f>
        <v>710862303.76</v>
      </c>
      <c r="I78" s="485">
        <f t="shared" si="2"/>
        <v>3316262890.34</v>
      </c>
    </row>
    <row r="79" spans="1:10" s="207" customFormat="1" ht="12">
      <c r="A79" s="200"/>
      <c r="B79" s="501"/>
      <c r="C79" s="502"/>
      <c r="D79" s="503"/>
      <c r="E79" s="503"/>
      <c r="F79" s="504"/>
      <c r="G79" s="505"/>
      <c r="H79" s="505"/>
      <c r="I79" s="505"/>
      <c r="J79" s="200"/>
    </row>
    <row r="80" spans="2:10" ht="12" customHeight="1">
      <c r="B80" s="693" t="s">
        <v>149</v>
      </c>
      <c r="C80" s="693"/>
      <c r="D80" s="693"/>
      <c r="E80" s="693"/>
      <c r="F80" s="693"/>
      <c r="G80" s="693"/>
      <c r="H80" s="693"/>
      <c r="I80" s="492"/>
      <c r="J80" s="201"/>
    </row>
    <row r="81" spans="2:9" s="201" customFormat="1" ht="12">
      <c r="B81" s="693"/>
      <c r="C81" s="693"/>
      <c r="D81" s="693"/>
      <c r="E81" s="693"/>
      <c r="F81" s="693"/>
      <c r="G81" s="693"/>
      <c r="H81" s="693"/>
      <c r="I81" s="492"/>
    </row>
    <row r="82" spans="2:9" s="201" customFormat="1" ht="12">
      <c r="B82" s="693"/>
      <c r="C82" s="693"/>
      <c r="D82" s="693"/>
      <c r="E82" s="693"/>
      <c r="F82" s="693"/>
      <c r="G82" s="693"/>
      <c r="H82" s="693"/>
      <c r="I82" s="492"/>
    </row>
    <row r="83" spans="2:9" s="201" customFormat="1" ht="12">
      <c r="B83" s="197"/>
      <c r="C83" s="197"/>
      <c r="D83" s="197"/>
      <c r="E83" s="197"/>
      <c r="F83" s="197"/>
      <c r="G83" s="197"/>
      <c r="H83" s="197"/>
      <c r="I83" s="232"/>
    </row>
    <row r="84" spans="2:9" s="201" customFormat="1" ht="12">
      <c r="B84" s="197"/>
      <c r="C84" s="197"/>
      <c r="D84" s="197"/>
      <c r="E84" s="197"/>
      <c r="F84" s="197"/>
      <c r="G84" s="197"/>
      <c r="H84" s="197"/>
      <c r="I84" s="232"/>
    </row>
    <row r="85" spans="2:9" s="201" customFormat="1" ht="12">
      <c r="B85" s="232"/>
      <c r="C85" s="232"/>
      <c r="D85" s="232"/>
      <c r="E85" s="232"/>
      <c r="F85" s="232"/>
      <c r="G85" s="232"/>
      <c r="H85" s="232"/>
      <c r="I85" s="232"/>
    </row>
    <row r="86" spans="2:9" s="201" customFormat="1" ht="12">
      <c r="B86" s="246"/>
      <c r="C86" s="246"/>
      <c r="D86" s="246"/>
      <c r="E86" s="246"/>
      <c r="F86" s="246"/>
      <c r="G86" s="246"/>
      <c r="H86" s="246"/>
      <c r="I86" s="246"/>
    </row>
    <row r="87" spans="2:9" s="201" customFormat="1" ht="12">
      <c r="B87" s="203"/>
      <c r="C87" s="306"/>
      <c r="D87" s="203"/>
      <c r="E87" s="203"/>
      <c r="F87" s="306"/>
      <c r="G87" s="306"/>
      <c r="H87" s="306"/>
      <c r="I87" s="203"/>
    </row>
    <row r="88" spans="1:9" s="201" customFormat="1" ht="12">
      <c r="A88" s="235"/>
      <c r="B88" s="295"/>
      <c r="C88" s="295" t="str">
        <f>+ENTE!D10</f>
        <v>ING. ENRIQUE DE ECHAVARRI LARY</v>
      </c>
      <c r="D88" s="295"/>
      <c r="E88" s="295"/>
      <c r="F88" s="701" t="str">
        <f>+ENTE!D14</f>
        <v>LIC. RICARDO SALVADOR BACA MUÑOZ</v>
      </c>
      <c r="G88" s="701"/>
      <c r="H88" s="701"/>
      <c r="I88" s="203"/>
    </row>
    <row r="89" spans="1:9" s="201" customFormat="1" ht="12">
      <c r="A89" s="235"/>
      <c r="B89" s="295"/>
      <c r="C89" s="295" t="str">
        <f>+ENTE!D12</f>
        <v>COORDINADOR GENERAL </v>
      </c>
      <c r="D89" s="295"/>
      <c r="E89" s="295"/>
      <c r="F89" s="696" t="str">
        <f>+ENTE!D16</f>
        <v>DIRECTOR DE ADMINISTRACION</v>
      </c>
      <c r="G89" s="696"/>
      <c r="H89" s="696"/>
      <c r="I89" s="203"/>
    </row>
    <row r="90" s="201" customFormat="1" ht="12"/>
  </sheetData>
  <sheetProtection sheet="1" objects="1" scenarios="1" selectLockedCells="1"/>
  <mergeCells count="25">
    <mergeCell ref="F89:H89"/>
    <mergeCell ref="B2:I2"/>
    <mergeCell ref="B3:I3"/>
    <mergeCell ref="B4:I4"/>
    <mergeCell ref="B5:I5"/>
    <mergeCell ref="B6:I6"/>
    <mergeCell ref="B10:B11"/>
    <mergeCell ref="I10:I11"/>
    <mergeCell ref="B13:C13"/>
    <mergeCell ref="B82:H82"/>
    <mergeCell ref="F88:H88"/>
    <mergeCell ref="C8:H8"/>
    <mergeCell ref="B31:C31"/>
    <mergeCell ref="B41:C41"/>
    <mergeCell ref="B42:C42"/>
    <mergeCell ref="B49:C49"/>
    <mergeCell ref="B53:C53"/>
    <mergeCell ref="D10:H10"/>
    <mergeCell ref="B16:C16"/>
    <mergeCell ref="B18:C18"/>
    <mergeCell ref="B20:C20"/>
    <mergeCell ref="B81:H81"/>
    <mergeCell ref="B80:H80"/>
    <mergeCell ref="B59:C59"/>
    <mergeCell ref="B63:C63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53" r:id="rId2"/>
  <headerFooter>
    <oddFooter>&amp;C&amp;A&amp;RPágina 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5"/>
  <sheetViews>
    <sheetView showGridLines="0" view="pageBreakPreview" zoomScaleSheetLayoutView="100" zoomScalePageLayoutView="0" workbookViewId="0" topLeftCell="A1">
      <selection activeCell="J12" sqref="J12"/>
    </sheetView>
  </sheetViews>
  <sheetFormatPr defaultColWidth="11.421875" defaultRowHeight="15"/>
  <cols>
    <col min="1" max="1" width="2.140625" style="3" customWidth="1"/>
    <col min="2" max="2" width="4.7109375" style="3" bestFit="1" customWidth="1"/>
    <col min="3" max="3" width="63.421875" style="3" customWidth="1"/>
    <col min="4" max="4" width="17.7109375" style="3" bestFit="1" customWidth="1"/>
    <col min="5" max="5" width="18.28125" style="3" customWidth="1"/>
    <col min="6" max="6" width="22.421875" style="3" customWidth="1"/>
    <col min="7" max="7" width="18.421875" style="3" customWidth="1"/>
    <col min="8" max="8" width="18.00390625" style="3" customWidth="1"/>
    <col min="9" max="9" width="17.421875" style="3" customWidth="1"/>
    <col min="10" max="10" width="17.7109375" style="3" bestFit="1" customWidth="1"/>
    <col min="11" max="11" width="2.140625" style="3" customWidth="1"/>
    <col min="12" max="16384" width="11.421875" style="3" customWidth="1"/>
  </cols>
  <sheetData>
    <row r="2" spans="3:10" s="2" customFormat="1" ht="12">
      <c r="C2" s="677" t="s">
        <v>379</v>
      </c>
      <c r="D2" s="677"/>
      <c r="E2" s="677"/>
      <c r="F2" s="677"/>
      <c r="G2" s="677"/>
      <c r="H2" s="677"/>
      <c r="I2" s="677"/>
      <c r="J2" s="281"/>
    </row>
    <row r="3" spans="3:9" s="2" customFormat="1" ht="12">
      <c r="C3" s="678" t="s">
        <v>368</v>
      </c>
      <c r="D3" s="678"/>
      <c r="E3" s="678"/>
      <c r="F3" s="678"/>
      <c r="G3" s="678"/>
      <c r="H3" s="678"/>
      <c r="I3" s="678"/>
    </row>
    <row r="4" spans="3:9" s="2" customFormat="1" ht="12">
      <c r="C4" s="678" t="str">
        <f>"Del 1 de enero al "&amp;TEXT(INDEX(Periodos,ENTE!D18,1),"dd")&amp;" de "&amp;TEXT(INDEX(Periodos,ENTE!D18,1),"mmmm")&amp;" de "&amp;TEXT(INDEX(Periodos,ENTE!D18,1),"aaaa")&amp;""</f>
        <v>Del 1 de enero al 30 de septiembre de 2017</v>
      </c>
      <c r="D4" s="678"/>
      <c r="E4" s="678"/>
      <c r="F4" s="678"/>
      <c r="G4" s="678"/>
      <c r="H4" s="678"/>
      <c r="I4" s="678"/>
    </row>
    <row r="5" spans="3:9" s="2" customFormat="1" ht="12">
      <c r="C5" s="777" t="s">
        <v>92</v>
      </c>
      <c r="D5" s="777"/>
      <c r="E5" s="777"/>
      <c r="F5" s="777"/>
      <c r="G5" s="777"/>
      <c r="H5" s="777"/>
      <c r="I5" s="777"/>
    </row>
    <row r="6" spans="2:10" s="2" customFormat="1" ht="12">
      <c r="B6" s="4" t="s">
        <v>4</v>
      </c>
      <c r="C6" s="679" t="str">
        <f>ENTE!D8</f>
        <v>UNIDAD DE SERVICIOS PARA LA EDUCACION BASICA EN EL ESTADO DE QUERETARO</v>
      </c>
      <c r="D6" s="679"/>
      <c r="E6" s="679"/>
      <c r="F6" s="679"/>
      <c r="G6" s="679"/>
      <c r="H6" s="679"/>
      <c r="I6" s="679"/>
      <c r="J6" s="679"/>
    </row>
    <row r="7" spans="3:8" s="2" customFormat="1" ht="12">
      <c r="C7" s="5"/>
      <c r="E7" s="6"/>
      <c r="F7" s="6"/>
      <c r="G7" s="6"/>
      <c r="H7" s="7"/>
    </row>
    <row r="8" spans="2:10" s="2" customFormat="1" ht="12">
      <c r="B8" s="676" t="s">
        <v>379</v>
      </c>
      <c r="C8" s="676"/>
      <c r="D8" s="676">
        <v>2017</v>
      </c>
      <c r="E8" s="676"/>
      <c r="F8" s="676"/>
      <c r="G8" s="676"/>
      <c r="H8" s="676"/>
      <c r="I8" s="676"/>
      <c r="J8" s="676"/>
    </row>
    <row r="9" spans="2:10" s="2" customFormat="1" ht="28.5" customHeight="1">
      <c r="B9" s="189" t="s">
        <v>360</v>
      </c>
      <c r="C9" s="189" t="s">
        <v>361</v>
      </c>
      <c r="D9" s="189" t="s">
        <v>370</v>
      </c>
      <c r="E9" s="189" t="s">
        <v>371</v>
      </c>
      <c r="F9" s="189" t="s">
        <v>372</v>
      </c>
      <c r="G9" s="189" t="s">
        <v>373</v>
      </c>
      <c r="H9" s="189" t="s">
        <v>374</v>
      </c>
      <c r="I9" s="189" t="s">
        <v>375</v>
      </c>
      <c r="J9" s="189" t="s">
        <v>376</v>
      </c>
    </row>
    <row r="10" spans="2:10" ht="12">
      <c r="B10" s="193" t="s">
        <v>38</v>
      </c>
      <c r="C10" s="194" t="s">
        <v>39</v>
      </c>
      <c r="D10" s="188"/>
      <c r="E10" s="188"/>
      <c r="F10" s="188"/>
      <c r="G10" s="188"/>
      <c r="H10" s="188"/>
      <c r="I10" s="188"/>
      <c r="J10" s="190"/>
    </row>
    <row r="11" spans="2:10" ht="13.5" customHeight="1">
      <c r="B11" s="193" t="s">
        <v>40</v>
      </c>
      <c r="C11" s="194" t="s">
        <v>41</v>
      </c>
      <c r="D11" s="188"/>
      <c r="E11" s="188"/>
      <c r="F11" s="188"/>
      <c r="G11" s="188"/>
      <c r="H11" s="188"/>
      <c r="I11" s="188"/>
      <c r="J11" s="190"/>
    </row>
    <row r="12" spans="2:10" ht="12">
      <c r="B12" s="193" t="s">
        <v>42</v>
      </c>
      <c r="C12" s="194" t="s">
        <v>43</v>
      </c>
      <c r="D12" s="188">
        <v>-7002457993</v>
      </c>
      <c r="E12" s="188">
        <v>3316262890.34</v>
      </c>
      <c r="F12" s="188">
        <v>-156967661.2</v>
      </c>
      <c r="G12" s="188"/>
      <c r="H12" s="188">
        <v>10058981.33</v>
      </c>
      <c r="I12" s="188">
        <v>3122241478.77</v>
      </c>
      <c r="J12" s="190">
        <v>710862303.76</v>
      </c>
    </row>
    <row r="13" spans="2:10" ht="12">
      <c r="B13" s="193" t="s">
        <v>44</v>
      </c>
      <c r="C13" s="194" t="s">
        <v>45</v>
      </c>
      <c r="D13" s="188"/>
      <c r="E13" s="188"/>
      <c r="F13" s="188"/>
      <c r="G13" s="188"/>
      <c r="H13" s="188"/>
      <c r="I13" s="188"/>
      <c r="J13" s="190"/>
    </row>
    <row r="14" spans="2:10" ht="12">
      <c r="B14" s="193" t="s">
        <v>46</v>
      </c>
      <c r="C14" s="194" t="s">
        <v>47</v>
      </c>
      <c r="D14" s="188"/>
      <c r="E14" s="188"/>
      <c r="F14" s="188"/>
      <c r="G14" s="188"/>
      <c r="H14" s="188"/>
      <c r="I14" s="188"/>
      <c r="J14" s="190"/>
    </row>
    <row r="15" spans="2:10" ht="12">
      <c r="B15" s="193" t="s">
        <v>48</v>
      </c>
      <c r="C15" s="194" t="s">
        <v>49</v>
      </c>
      <c r="D15" s="188"/>
      <c r="E15" s="188"/>
      <c r="F15" s="188"/>
      <c r="G15" s="188"/>
      <c r="H15" s="188"/>
      <c r="I15" s="188"/>
      <c r="J15" s="190"/>
    </row>
    <row r="16" spans="2:10" ht="12">
      <c r="B16" s="193" t="s">
        <v>50</v>
      </c>
      <c r="C16" s="194" t="s">
        <v>51</v>
      </c>
      <c r="D16" s="188"/>
      <c r="E16" s="188"/>
      <c r="F16" s="188"/>
      <c r="G16" s="188"/>
      <c r="H16" s="188"/>
      <c r="I16" s="188"/>
      <c r="J16" s="190"/>
    </row>
    <row r="17" spans="2:10" ht="12">
      <c r="B17" s="193" t="s">
        <v>52</v>
      </c>
      <c r="C17" s="194" t="s">
        <v>53</v>
      </c>
      <c r="D17" s="188"/>
      <c r="E17" s="188"/>
      <c r="F17" s="188"/>
      <c r="G17" s="188"/>
      <c r="H17" s="188"/>
      <c r="I17" s="188"/>
      <c r="J17" s="190"/>
    </row>
    <row r="18" spans="2:10" ht="12">
      <c r="B18" s="193" t="s">
        <v>54</v>
      </c>
      <c r="C18" s="194" t="s">
        <v>55</v>
      </c>
      <c r="D18" s="188"/>
      <c r="E18" s="188"/>
      <c r="F18" s="188"/>
      <c r="G18" s="188"/>
      <c r="H18" s="188"/>
      <c r="I18" s="188"/>
      <c r="J18" s="190"/>
    </row>
    <row r="19" spans="2:10" ht="12">
      <c r="B19" s="193" t="s">
        <v>56</v>
      </c>
      <c r="C19" s="194" t="s">
        <v>57</v>
      </c>
      <c r="D19" s="188"/>
      <c r="E19" s="188"/>
      <c r="F19" s="188"/>
      <c r="G19" s="188"/>
      <c r="H19" s="188"/>
      <c r="I19" s="188"/>
      <c r="J19" s="190"/>
    </row>
    <row r="20" spans="2:10" ht="12">
      <c r="B20" s="193" t="s">
        <v>58</v>
      </c>
      <c r="C20" s="194" t="s">
        <v>59</v>
      </c>
      <c r="D20" s="188"/>
      <c r="E20" s="188"/>
      <c r="F20" s="188"/>
      <c r="G20" s="188"/>
      <c r="H20" s="188"/>
      <c r="I20" s="188"/>
      <c r="J20" s="190"/>
    </row>
    <row r="21" spans="2:10" ht="12">
      <c r="B21" s="193" t="s">
        <v>60</v>
      </c>
      <c r="C21" s="194" t="s">
        <v>61</v>
      </c>
      <c r="D21" s="188"/>
      <c r="E21" s="188"/>
      <c r="F21" s="188"/>
      <c r="G21" s="188"/>
      <c r="H21" s="188"/>
      <c r="I21" s="188"/>
      <c r="J21" s="190"/>
    </row>
    <row r="22" spans="2:10" ht="12">
      <c r="B22" s="193" t="s">
        <v>62</v>
      </c>
      <c r="C22" s="194" t="s">
        <v>63</v>
      </c>
      <c r="D22" s="188"/>
      <c r="E22" s="188"/>
      <c r="F22" s="188"/>
      <c r="G22" s="188"/>
      <c r="H22" s="188"/>
      <c r="I22" s="188"/>
      <c r="J22" s="190"/>
    </row>
    <row r="23" spans="2:10" ht="12">
      <c r="B23" s="193" t="s">
        <v>64</v>
      </c>
      <c r="C23" s="194" t="s">
        <v>65</v>
      </c>
      <c r="D23" s="188"/>
      <c r="E23" s="188"/>
      <c r="F23" s="188"/>
      <c r="G23" s="188"/>
      <c r="H23" s="188"/>
      <c r="I23" s="188"/>
      <c r="J23" s="190"/>
    </row>
    <row r="24" spans="2:10" ht="12">
      <c r="B24" s="193" t="s">
        <v>66</v>
      </c>
      <c r="C24" s="194" t="s">
        <v>67</v>
      </c>
      <c r="D24" s="188"/>
      <c r="E24" s="188"/>
      <c r="F24" s="188"/>
      <c r="G24" s="188"/>
      <c r="H24" s="188"/>
      <c r="I24" s="188"/>
      <c r="J24" s="190"/>
    </row>
    <row r="25" spans="2:10" ht="12">
      <c r="B25" s="193" t="s">
        <v>68</v>
      </c>
      <c r="C25" s="194" t="s">
        <v>69</v>
      </c>
      <c r="D25" s="188"/>
      <c r="E25" s="188"/>
      <c r="F25" s="188"/>
      <c r="G25" s="188"/>
      <c r="H25" s="188"/>
      <c r="I25" s="188"/>
      <c r="J25" s="190"/>
    </row>
    <row r="26" spans="2:10" ht="12">
      <c r="B26" s="193" t="s">
        <v>70</v>
      </c>
      <c r="C26" s="194" t="s">
        <v>71</v>
      </c>
      <c r="D26" s="188"/>
      <c r="E26" s="188"/>
      <c r="F26" s="188"/>
      <c r="G26" s="188"/>
      <c r="H26" s="188"/>
      <c r="I26" s="188"/>
      <c r="J26" s="190"/>
    </row>
    <row r="27" spans="2:10" ht="12">
      <c r="B27" s="193" t="s">
        <v>72</v>
      </c>
      <c r="C27" s="194" t="s">
        <v>73</v>
      </c>
      <c r="D27" s="188"/>
      <c r="E27" s="188"/>
      <c r="F27" s="188"/>
      <c r="G27" s="188"/>
      <c r="H27" s="188"/>
      <c r="I27" s="188"/>
      <c r="J27" s="190"/>
    </row>
    <row r="28" spans="2:10" ht="12">
      <c r="B28" s="193" t="s">
        <v>74</v>
      </c>
      <c r="C28" s="194" t="s">
        <v>75</v>
      </c>
      <c r="D28" s="188"/>
      <c r="E28" s="188"/>
      <c r="F28" s="188"/>
      <c r="G28" s="188"/>
      <c r="H28" s="188"/>
      <c r="I28" s="188"/>
      <c r="J28" s="190"/>
    </row>
    <row r="29" spans="2:10" ht="12">
      <c r="B29" s="193" t="s">
        <v>76</v>
      </c>
      <c r="C29" s="194" t="s">
        <v>77</v>
      </c>
      <c r="D29" s="188"/>
      <c r="E29" s="188"/>
      <c r="F29" s="188"/>
      <c r="G29" s="188"/>
      <c r="H29" s="188"/>
      <c r="I29" s="188"/>
      <c r="J29" s="190"/>
    </row>
    <row r="30" spans="2:10" ht="12">
      <c r="B30" s="193" t="s">
        <v>78</v>
      </c>
      <c r="C30" s="194" t="s">
        <v>79</v>
      </c>
      <c r="D30" s="188"/>
      <c r="E30" s="188"/>
      <c r="F30" s="188"/>
      <c r="G30" s="188"/>
      <c r="H30" s="188"/>
      <c r="I30" s="188"/>
      <c r="J30" s="190"/>
    </row>
    <row r="31" spans="2:10" ht="12">
      <c r="B31" s="193" t="s">
        <v>80</v>
      </c>
      <c r="C31" s="194" t="s">
        <v>81</v>
      </c>
      <c r="D31" s="188"/>
      <c r="E31" s="188"/>
      <c r="F31" s="188"/>
      <c r="G31" s="188"/>
      <c r="H31" s="188"/>
      <c r="I31" s="188"/>
      <c r="J31" s="190"/>
    </row>
    <row r="32" spans="2:10" ht="12">
      <c r="B32" s="195" t="s">
        <v>82</v>
      </c>
      <c r="C32" s="17" t="s">
        <v>83</v>
      </c>
      <c r="D32" s="191"/>
      <c r="E32" s="191"/>
      <c r="F32" s="191"/>
      <c r="G32" s="191"/>
      <c r="H32" s="191"/>
      <c r="I32" s="191"/>
      <c r="J32" s="192"/>
    </row>
    <row r="33" spans="4:10" ht="12">
      <c r="D33" s="10">
        <f>SUM(D10:D32)</f>
        <v>-7002457993</v>
      </c>
      <c r="E33" s="10">
        <f aca="true" t="shared" si="0" ref="E33:J33">SUM(E10:E32)</f>
        <v>3316262890.34</v>
      </c>
      <c r="F33" s="10">
        <f t="shared" si="0"/>
        <v>-156967661.2</v>
      </c>
      <c r="G33" s="10">
        <f t="shared" si="0"/>
        <v>0</v>
      </c>
      <c r="H33" s="10">
        <f t="shared" si="0"/>
        <v>10058981.33</v>
      </c>
      <c r="I33" s="10">
        <f t="shared" si="0"/>
        <v>3122241478.77</v>
      </c>
      <c r="J33" s="10">
        <f t="shared" si="0"/>
        <v>710862303.76</v>
      </c>
    </row>
    <row r="34" spans="4:10" ht="12">
      <c r="D34" s="8"/>
      <c r="E34" s="8"/>
      <c r="F34" s="8"/>
      <c r="G34" s="8"/>
      <c r="H34" s="8"/>
      <c r="I34" s="8"/>
      <c r="J34" s="8"/>
    </row>
    <row r="35" spans="4:10" ht="12">
      <c r="D35" s="11" t="str">
        <f>IF(SUM(D33:J33)=0," ","ERROR EN LA SUMATORIA DE LOS SALDOS, LA SUMA DE TODAS LAS COLUMNAS DEBE SER CERO, HAY UN DESCUADRE POR: "&amp;SUM(D33:J33))</f>
        <v> </v>
      </c>
      <c r="E35" s="8"/>
      <c r="F35" s="8"/>
      <c r="G35" s="8"/>
      <c r="H35" s="8"/>
      <c r="I35" s="8"/>
      <c r="J35" s="8"/>
    </row>
  </sheetData>
  <sheetProtection sheet="1" objects="1" scenarios="1" selectLockedCells="1"/>
  <mergeCells count="7">
    <mergeCell ref="C3:I3"/>
    <mergeCell ref="C2:I2"/>
    <mergeCell ref="B8:C8"/>
    <mergeCell ref="D8:J8"/>
    <mergeCell ref="C6:J6"/>
    <mergeCell ref="C5:I5"/>
    <mergeCell ref="C4:I4"/>
  </mergeCells>
  <printOptions/>
  <pageMargins left="0.7086614173228347" right="0.7086614173228347" top="0.7480314960629921" bottom="0.7480314960629921" header="0.31496062992125984" footer="0.31496062992125984"/>
  <pageSetup fitToHeight="15" fitToWidth="1" horizontalDpi="600" verticalDpi="600" orientation="portrait" scale="44" r:id="rId1"/>
  <headerFooter>
    <oddFooter>&amp;L&amp;NBorrador&amp;C&amp;A&amp;NPágina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7"/>
  <sheetViews>
    <sheetView showGridLines="0" view="pageBreakPreview" zoomScale="98" zoomScaleSheetLayoutView="98" zoomScalePageLayoutView="0" workbookViewId="0" topLeftCell="A1">
      <selection activeCell="B2" sqref="B2:J2"/>
    </sheetView>
  </sheetViews>
  <sheetFormatPr defaultColWidth="11.421875" defaultRowHeight="15"/>
  <cols>
    <col min="1" max="1" width="2.140625" style="21" customWidth="1"/>
    <col min="2" max="2" width="4.8515625" style="3" customWidth="1"/>
    <col min="3" max="3" width="3.7109375" style="3" customWidth="1"/>
    <col min="4" max="4" width="65.7109375" style="3" customWidth="1"/>
    <col min="5" max="10" width="18.57421875" style="3" customWidth="1"/>
    <col min="11" max="11" width="3.140625" style="21" customWidth="1"/>
    <col min="12" max="16384" width="11.421875" style="3" customWidth="1"/>
  </cols>
  <sheetData>
    <row r="1" s="21" customFormat="1" ht="6.75" customHeight="1"/>
    <row r="2" spans="2:10" ht="12" customHeight="1">
      <c r="B2" s="677"/>
      <c r="C2" s="677"/>
      <c r="D2" s="677"/>
      <c r="E2" s="677"/>
      <c r="F2" s="677"/>
      <c r="G2" s="677"/>
      <c r="H2" s="677"/>
      <c r="I2" s="677"/>
      <c r="J2" s="677"/>
    </row>
    <row r="3" spans="2:10" ht="12" customHeight="1">
      <c r="B3" s="680" t="s">
        <v>310</v>
      </c>
      <c r="C3" s="680"/>
      <c r="D3" s="680"/>
      <c r="E3" s="680"/>
      <c r="F3" s="680"/>
      <c r="G3" s="680"/>
      <c r="H3" s="680"/>
      <c r="I3" s="680"/>
      <c r="J3" s="680"/>
    </row>
    <row r="4" spans="2:10" ht="12" customHeight="1">
      <c r="B4" s="680" t="str">
        <f>"Del 1 de enero al "&amp;TEXT(INDEX(Periodos,ENTE!D18,1),"dd")&amp;" de "&amp;TEXT(INDEX(Periodos,ENTE!D18,1),"mmmm")&amp;" de "&amp;TEXT(INDEX(Periodos,ENTE!D18,1),"aaaa")&amp;""</f>
        <v>Del 1 de enero al 30 de septiembre de 2017</v>
      </c>
      <c r="C4" s="680"/>
      <c r="D4" s="680"/>
      <c r="E4" s="680"/>
      <c r="F4" s="680"/>
      <c r="G4" s="680"/>
      <c r="H4" s="680"/>
      <c r="I4" s="680"/>
      <c r="J4" s="680"/>
    </row>
    <row r="5" spans="2:10" ht="12" customHeight="1">
      <c r="B5" s="680" t="s">
        <v>92</v>
      </c>
      <c r="C5" s="680"/>
      <c r="D5" s="680"/>
      <c r="E5" s="680"/>
      <c r="F5" s="680"/>
      <c r="G5" s="680"/>
      <c r="H5" s="680"/>
      <c r="I5" s="680"/>
      <c r="J5" s="680"/>
    </row>
    <row r="6" spans="2:10" ht="12" customHeight="1">
      <c r="B6" s="352"/>
      <c r="C6" s="352"/>
      <c r="D6" s="352"/>
      <c r="E6" s="352"/>
      <c r="F6" s="352"/>
      <c r="G6" s="352"/>
      <c r="H6" s="352"/>
      <c r="I6" s="352"/>
      <c r="J6" s="352"/>
    </row>
    <row r="7" spans="2:10" ht="12" customHeight="1">
      <c r="B7" s="178" t="s">
        <v>4</v>
      </c>
      <c r="C7" s="679" t="str">
        <f>ENTE!D8</f>
        <v>UNIDAD DE SERVICIOS PARA LA EDUCACION BASICA EN EL ESTADO DE QUERETARO</v>
      </c>
      <c r="D7" s="679"/>
      <c r="E7" s="679"/>
      <c r="F7" s="679"/>
      <c r="G7" s="679"/>
      <c r="H7" s="679"/>
      <c r="I7" s="679"/>
      <c r="J7" s="679"/>
    </row>
    <row r="8" spans="2:10" s="2" customFormat="1" ht="12" customHeight="1">
      <c r="B8" s="162"/>
      <c r="C8" s="162"/>
      <c r="D8" s="162"/>
      <c r="E8" s="162"/>
      <c r="F8" s="162"/>
      <c r="G8" s="162"/>
      <c r="H8" s="162"/>
      <c r="I8" s="162"/>
      <c r="J8" s="162"/>
    </row>
    <row r="9" spans="2:10" ht="12" customHeight="1">
      <c r="B9" s="723" t="s">
        <v>93</v>
      </c>
      <c r="C9" s="783"/>
      <c r="D9" s="724"/>
      <c r="E9" s="729" t="s">
        <v>493</v>
      </c>
      <c r="F9" s="729"/>
      <c r="G9" s="729"/>
      <c r="H9" s="729"/>
      <c r="I9" s="729"/>
      <c r="J9" s="729" t="s">
        <v>636</v>
      </c>
    </row>
    <row r="10" spans="2:10" ht="12" customHeight="1">
      <c r="B10" s="725"/>
      <c r="C10" s="784"/>
      <c r="D10" s="726"/>
      <c r="E10" s="357" t="s">
        <v>243</v>
      </c>
      <c r="F10" s="357" t="s">
        <v>244</v>
      </c>
      <c r="G10" s="357" t="s">
        <v>220</v>
      </c>
      <c r="H10" s="357" t="s">
        <v>221</v>
      </c>
      <c r="I10" s="357" t="s">
        <v>245</v>
      </c>
      <c r="J10" s="729"/>
    </row>
    <row r="11" spans="2:10" ht="12" customHeight="1">
      <c r="B11" s="727"/>
      <c r="C11" s="785"/>
      <c r="D11" s="728"/>
      <c r="E11" s="357">
        <v>1</v>
      </c>
      <c r="F11" s="357">
        <v>2</v>
      </c>
      <c r="G11" s="357" t="s">
        <v>246</v>
      </c>
      <c r="H11" s="357">
        <v>4</v>
      </c>
      <c r="I11" s="357">
        <v>5</v>
      </c>
      <c r="J11" s="357" t="s">
        <v>247</v>
      </c>
    </row>
    <row r="12" spans="1:11" s="1" customFormat="1" ht="15" customHeight="1">
      <c r="A12" s="124"/>
      <c r="B12" s="780" t="s">
        <v>311</v>
      </c>
      <c r="C12" s="781"/>
      <c r="D12" s="782"/>
      <c r="E12" s="508"/>
      <c r="F12" s="509"/>
      <c r="G12" s="509"/>
      <c r="H12" s="509"/>
      <c r="I12" s="509"/>
      <c r="J12" s="509"/>
      <c r="K12" s="124"/>
    </row>
    <row r="13" spans="1:11" s="1" customFormat="1" ht="12">
      <c r="A13" s="124"/>
      <c r="B13" s="140"/>
      <c r="C13" s="778" t="s">
        <v>312</v>
      </c>
      <c r="D13" s="779"/>
      <c r="E13" s="360">
        <f>+E14+E15</f>
        <v>0</v>
      </c>
      <c r="F13" s="360">
        <f>+F14+F15</f>
        <v>0</v>
      </c>
      <c r="G13" s="360">
        <f>+E13+F13</f>
        <v>0</v>
      </c>
      <c r="H13" s="360">
        <f>+H14+H15</f>
        <v>0</v>
      </c>
      <c r="I13" s="360">
        <f>+I14+I15</f>
        <v>0</v>
      </c>
      <c r="J13" s="360">
        <f>+G13-H13</f>
        <v>0</v>
      </c>
      <c r="K13" s="124"/>
    </row>
    <row r="14" spans="2:10" ht="12">
      <c r="B14" s="128"/>
      <c r="C14" s="163"/>
      <c r="D14" s="345" t="s">
        <v>39</v>
      </c>
      <c r="E14" s="105">
        <f>-SCP!D10</f>
        <v>0</v>
      </c>
      <c r="F14" s="105">
        <f>-SCP!F10</f>
        <v>0</v>
      </c>
      <c r="G14" s="105">
        <f>+E14+F14</f>
        <v>0</v>
      </c>
      <c r="H14" s="105">
        <f>SCP!H10+SCP!I10+SCP!J10</f>
        <v>0</v>
      </c>
      <c r="I14" s="105">
        <f>SCP!J10</f>
        <v>0</v>
      </c>
      <c r="J14" s="105">
        <f aca="true" t="shared" si="0" ref="J14:J41">+G14-H14</f>
        <v>0</v>
      </c>
    </row>
    <row r="15" spans="2:10" ht="12">
      <c r="B15" s="128"/>
      <c r="C15" s="163"/>
      <c r="D15" s="345" t="s">
        <v>41</v>
      </c>
      <c r="E15" s="105">
        <f>-SCP!D11</f>
        <v>0</v>
      </c>
      <c r="F15" s="105">
        <f>-SCP!F11</f>
        <v>0</v>
      </c>
      <c r="G15" s="105">
        <f>+E15+F15</f>
        <v>0</v>
      </c>
      <c r="H15" s="105">
        <f>SCP!H11+SCP!I11+SCP!J11</f>
        <v>0</v>
      </c>
      <c r="I15" s="105">
        <f>SCP!J11</f>
        <v>0</v>
      </c>
      <c r="J15" s="105">
        <f t="shared" si="0"/>
        <v>0</v>
      </c>
    </row>
    <row r="16" spans="1:11" s="1" customFormat="1" ht="12">
      <c r="A16" s="124"/>
      <c r="B16" s="140"/>
      <c r="C16" s="778" t="s">
        <v>313</v>
      </c>
      <c r="D16" s="779"/>
      <c r="E16" s="360">
        <f>SUM(E17:E24)</f>
        <v>7002457993</v>
      </c>
      <c r="F16" s="360">
        <f>SUM(F17:F24)</f>
        <v>156967661.2</v>
      </c>
      <c r="G16" s="360">
        <f>+E16+F16</f>
        <v>7159425654.2</v>
      </c>
      <c r="H16" s="360">
        <f>SUM(H17:H24)</f>
        <v>3843162763.8599997</v>
      </c>
      <c r="I16" s="360">
        <f>SUM(I17:I24)</f>
        <v>710862303.76</v>
      </c>
      <c r="J16" s="360">
        <f t="shared" si="0"/>
        <v>3316262890.34</v>
      </c>
      <c r="K16" s="124"/>
    </row>
    <row r="17" spans="2:10" ht="12">
      <c r="B17" s="128"/>
      <c r="C17" s="163"/>
      <c r="D17" s="345" t="s">
        <v>43</v>
      </c>
      <c r="E17" s="105">
        <f>-SCP!D12</f>
        <v>7002457993</v>
      </c>
      <c r="F17" s="105">
        <f>-SCP!F12</f>
        <v>156967661.2</v>
      </c>
      <c r="G17" s="105">
        <f>+E17+F17</f>
        <v>7159425654.2</v>
      </c>
      <c r="H17" s="105">
        <f>SCP!H12+SCP!I12+SCP!J12</f>
        <v>3843162763.8599997</v>
      </c>
      <c r="I17" s="105">
        <f>SCP!J12</f>
        <v>710862303.76</v>
      </c>
      <c r="J17" s="105">
        <f t="shared" si="0"/>
        <v>3316262890.34</v>
      </c>
    </row>
    <row r="18" spans="2:10" ht="12">
      <c r="B18" s="128"/>
      <c r="C18" s="163"/>
      <c r="D18" s="345" t="s">
        <v>45</v>
      </c>
      <c r="E18" s="105">
        <f>-SCP!D13</f>
        <v>0</v>
      </c>
      <c r="F18" s="105">
        <f>-SCP!F13</f>
        <v>0</v>
      </c>
      <c r="G18" s="105">
        <f aca="true" t="shared" si="1" ref="G18:G41">+E18+F18</f>
        <v>0</v>
      </c>
      <c r="H18" s="105">
        <f>SCP!H13+SCP!I13+SCP!J13</f>
        <v>0</v>
      </c>
      <c r="I18" s="105">
        <f>SCP!J13</f>
        <v>0</v>
      </c>
      <c r="J18" s="105">
        <f t="shared" si="0"/>
        <v>0</v>
      </c>
    </row>
    <row r="19" spans="2:10" ht="12">
      <c r="B19" s="128"/>
      <c r="C19" s="163"/>
      <c r="D19" s="345" t="s">
        <v>47</v>
      </c>
      <c r="E19" s="105">
        <f>-SCP!D14</f>
        <v>0</v>
      </c>
      <c r="F19" s="105">
        <f>-SCP!F14</f>
        <v>0</v>
      </c>
      <c r="G19" s="105">
        <f t="shared" si="1"/>
        <v>0</v>
      </c>
      <c r="H19" s="105">
        <f>SCP!H14+SCP!I14+SCP!J14</f>
        <v>0</v>
      </c>
      <c r="I19" s="105">
        <f>SCP!J14</f>
        <v>0</v>
      </c>
      <c r="J19" s="105">
        <f t="shared" si="0"/>
        <v>0</v>
      </c>
    </row>
    <row r="20" spans="2:10" ht="12">
      <c r="B20" s="128"/>
      <c r="C20" s="163"/>
      <c r="D20" s="345" t="s">
        <v>49</v>
      </c>
      <c r="E20" s="105">
        <f>-SCP!D15</f>
        <v>0</v>
      </c>
      <c r="F20" s="105">
        <f>-SCP!F15</f>
        <v>0</v>
      </c>
      <c r="G20" s="105">
        <f t="shared" si="1"/>
        <v>0</v>
      </c>
      <c r="H20" s="105">
        <f>SCP!H15+SCP!I15+SCP!J15</f>
        <v>0</v>
      </c>
      <c r="I20" s="105">
        <f>SCP!J15</f>
        <v>0</v>
      </c>
      <c r="J20" s="105">
        <f t="shared" si="0"/>
        <v>0</v>
      </c>
    </row>
    <row r="21" spans="2:10" ht="12">
      <c r="B21" s="128"/>
      <c r="C21" s="163"/>
      <c r="D21" s="345" t="s">
        <v>51</v>
      </c>
      <c r="E21" s="105">
        <f>-SCP!D16</f>
        <v>0</v>
      </c>
      <c r="F21" s="105">
        <f>-SCP!F16</f>
        <v>0</v>
      </c>
      <c r="G21" s="105">
        <f t="shared" si="1"/>
        <v>0</v>
      </c>
      <c r="H21" s="105">
        <f>SCP!H16+SCP!I16+SCP!J16</f>
        <v>0</v>
      </c>
      <c r="I21" s="105">
        <f>SCP!J16</f>
        <v>0</v>
      </c>
      <c r="J21" s="105">
        <f t="shared" si="0"/>
        <v>0</v>
      </c>
    </row>
    <row r="22" spans="2:10" ht="12">
      <c r="B22" s="128"/>
      <c r="C22" s="163"/>
      <c r="D22" s="345" t="s">
        <v>53</v>
      </c>
      <c r="E22" s="105">
        <f>-SCP!D17</f>
        <v>0</v>
      </c>
      <c r="F22" s="105">
        <f>-SCP!F17</f>
        <v>0</v>
      </c>
      <c r="G22" s="105">
        <f t="shared" si="1"/>
        <v>0</v>
      </c>
      <c r="H22" s="105">
        <f>SCP!H17+SCP!I17+SCP!J17</f>
        <v>0</v>
      </c>
      <c r="I22" s="105">
        <f>SCP!J17</f>
        <v>0</v>
      </c>
      <c r="J22" s="105">
        <f t="shared" si="0"/>
        <v>0</v>
      </c>
    </row>
    <row r="23" spans="2:10" ht="12">
      <c r="B23" s="128"/>
      <c r="C23" s="163"/>
      <c r="D23" s="345" t="s">
        <v>55</v>
      </c>
      <c r="E23" s="105">
        <f>-SCP!D18</f>
        <v>0</v>
      </c>
      <c r="F23" s="105">
        <f>-SCP!F18</f>
        <v>0</v>
      </c>
      <c r="G23" s="105">
        <f t="shared" si="1"/>
        <v>0</v>
      </c>
      <c r="H23" s="105">
        <f>SCP!H18+SCP!I18+SCP!J18</f>
        <v>0</v>
      </c>
      <c r="I23" s="105">
        <f>SCP!J18</f>
        <v>0</v>
      </c>
      <c r="J23" s="105">
        <f t="shared" si="0"/>
        <v>0</v>
      </c>
    </row>
    <row r="24" spans="2:10" ht="12">
      <c r="B24" s="128"/>
      <c r="C24" s="163"/>
      <c r="D24" s="345" t="s">
        <v>57</v>
      </c>
      <c r="E24" s="105">
        <f>-SCP!D19</f>
        <v>0</v>
      </c>
      <c r="F24" s="105">
        <f>-SCP!F19</f>
        <v>0</v>
      </c>
      <c r="G24" s="105">
        <f t="shared" si="1"/>
        <v>0</v>
      </c>
      <c r="H24" s="105">
        <f>SCP!H19+SCP!I19+SCP!J19</f>
        <v>0</v>
      </c>
      <c r="I24" s="105">
        <f>SCP!J19</f>
        <v>0</v>
      </c>
      <c r="J24" s="105">
        <f t="shared" si="0"/>
        <v>0</v>
      </c>
    </row>
    <row r="25" spans="1:11" s="1" customFormat="1" ht="12">
      <c r="A25" s="124"/>
      <c r="B25" s="140"/>
      <c r="C25" s="778" t="s">
        <v>314</v>
      </c>
      <c r="D25" s="779"/>
      <c r="E25" s="360">
        <f>SUM(E26:E28)</f>
        <v>0</v>
      </c>
      <c r="F25" s="360">
        <f>SUM(F26:F28)</f>
        <v>0</v>
      </c>
      <c r="G25" s="360">
        <f t="shared" si="1"/>
        <v>0</v>
      </c>
      <c r="H25" s="360">
        <f>SUM(H26:H28)</f>
        <v>0</v>
      </c>
      <c r="I25" s="360">
        <f>SUM(I26:I28)</f>
        <v>0</v>
      </c>
      <c r="J25" s="360">
        <f t="shared" si="0"/>
        <v>0</v>
      </c>
      <c r="K25" s="124"/>
    </row>
    <row r="26" spans="2:10" ht="12">
      <c r="B26" s="128"/>
      <c r="C26" s="163"/>
      <c r="D26" s="345" t="s">
        <v>59</v>
      </c>
      <c r="E26" s="105">
        <f>-SCP!D20</f>
        <v>0</v>
      </c>
      <c r="F26" s="105">
        <f>-SCP!F20</f>
        <v>0</v>
      </c>
      <c r="G26" s="105">
        <f t="shared" si="1"/>
        <v>0</v>
      </c>
      <c r="H26" s="105">
        <f>SCP!H20+SCP!I20+SCP!J20</f>
        <v>0</v>
      </c>
      <c r="I26" s="105">
        <f>SCP!J20</f>
        <v>0</v>
      </c>
      <c r="J26" s="105">
        <f t="shared" si="0"/>
        <v>0</v>
      </c>
    </row>
    <row r="27" spans="2:10" ht="12">
      <c r="B27" s="128"/>
      <c r="C27" s="163"/>
      <c r="D27" s="345" t="s">
        <v>61</v>
      </c>
      <c r="E27" s="105">
        <f>-SCP!D21</f>
        <v>0</v>
      </c>
      <c r="F27" s="105">
        <f>-SCP!F21</f>
        <v>0</v>
      </c>
      <c r="G27" s="105">
        <f t="shared" si="1"/>
        <v>0</v>
      </c>
      <c r="H27" s="105">
        <f>SCP!H21+SCP!I21+SCP!J21</f>
        <v>0</v>
      </c>
      <c r="I27" s="105">
        <f>SCP!J21</f>
        <v>0</v>
      </c>
      <c r="J27" s="105">
        <f t="shared" si="0"/>
        <v>0</v>
      </c>
    </row>
    <row r="28" spans="2:10" ht="12">
      <c r="B28" s="128"/>
      <c r="C28" s="163"/>
      <c r="D28" s="345" t="s">
        <v>63</v>
      </c>
      <c r="E28" s="105">
        <f>-SCP!D22</f>
        <v>0</v>
      </c>
      <c r="F28" s="105">
        <f>-SCP!F22</f>
        <v>0</v>
      </c>
      <c r="G28" s="105">
        <f t="shared" si="1"/>
        <v>0</v>
      </c>
      <c r="H28" s="105">
        <f>SCP!H22+SCP!I22+SCP!J22</f>
        <v>0</v>
      </c>
      <c r="I28" s="105">
        <f>SCP!J22</f>
        <v>0</v>
      </c>
      <c r="J28" s="105">
        <f t="shared" si="0"/>
        <v>0</v>
      </c>
    </row>
    <row r="29" spans="1:11" s="1" customFormat="1" ht="12">
      <c r="A29" s="124"/>
      <c r="B29" s="140"/>
      <c r="C29" s="778" t="s">
        <v>315</v>
      </c>
      <c r="D29" s="779"/>
      <c r="E29" s="360">
        <f>SUM(E30:E31)</f>
        <v>0</v>
      </c>
      <c r="F29" s="360">
        <f>SUM(F30:F31)</f>
        <v>0</v>
      </c>
      <c r="G29" s="360">
        <f t="shared" si="1"/>
        <v>0</v>
      </c>
      <c r="H29" s="360">
        <f>SUM(H30:H31)</f>
        <v>0</v>
      </c>
      <c r="I29" s="360">
        <f>SUM(I30:I31)</f>
        <v>0</v>
      </c>
      <c r="J29" s="360">
        <f t="shared" si="0"/>
        <v>0</v>
      </c>
      <c r="K29" s="124"/>
    </row>
    <row r="30" spans="2:10" ht="12">
      <c r="B30" s="128"/>
      <c r="C30" s="163"/>
      <c r="D30" s="345" t="s">
        <v>65</v>
      </c>
      <c r="E30" s="105">
        <f>-SCP!D23</f>
        <v>0</v>
      </c>
      <c r="F30" s="105">
        <f>-SCP!F23</f>
        <v>0</v>
      </c>
      <c r="G30" s="105">
        <f t="shared" si="1"/>
        <v>0</v>
      </c>
      <c r="H30" s="105">
        <f>SCP!H23+SCP!I23+SCP!J23</f>
        <v>0</v>
      </c>
      <c r="I30" s="105">
        <f>SCP!J23</f>
        <v>0</v>
      </c>
      <c r="J30" s="105">
        <f t="shared" si="0"/>
        <v>0</v>
      </c>
    </row>
    <row r="31" spans="2:10" ht="12">
      <c r="B31" s="128"/>
      <c r="C31" s="163"/>
      <c r="D31" s="345" t="s">
        <v>67</v>
      </c>
      <c r="E31" s="105">
        <f>-SCP!D24</f>
        <v>0</v>
      </c>
      <c r="F31" s="105">
        <f>-SCP!F24</f>
        <v>0</v>
      </c>
      <c r="G31" s="105">
        <f t="shared" si="1"/>
        <v>0</v>
      </c>
      <c r="H31" s="105">
        <f>SCP!H24+SCP!I24+SCP!J24</f>
        <v>0</v>
      </c>
      <c r="I31" s="105">
        <f>SCP!J24</f>
        <v>0</v>
      </c>
      <c r="J31" s="105">
        <f t="shared" si="0"/>
        <v>0</v>
      </c>
    </row>
    <row r="32" spans="1:11" s="1" customFormat="1" ht="12">
      <c r="A32" s="124"/>
      <c r="B32" s="140"/>
      <c r="C32" s="778" t="s">
        <v>316</v>
      </c>
      <c r="D32" s="779"/>
      <c r="E32" s="360">
        <f>SUM(E33:E36)</f>
        <v>0</v>
      </c>
      <c r="F32" s="360">
        <f>SUM(F33:F36)</f>
        <v>0</v>
      </c>
      <c r="G32" s="360">
        <f t="shared" si="1"/>
        <v>0</v>
      </c>
      <c r="H32" s="360">
        <f>SUM(H33:H36)</f>
        <v>0</v>
      </c>
      <c r="I32" s="360">
        <f>SUM(I33:I36)</f>
        <v>0</v>
      </c>
      <c r="J32" s="360">
        <f t="shared" si="0"/>
        <v>0</v>
      </c>
      <c r="K32" s="124"/>
    </row>
    <row r="33" spans="2:10" ht="12">
      <c r="B33" s="128"/>
      <c r="C33" s="163"/>
      <c r="D33" s="345" t="s">
        <v>69</v>
      </c>
      <c r="E33" s="105">
        <f>-SCP!D25</f>
        <v>0</v>
      </c>
      <c r="F33" s="105">
        <f>-SCP!F25</f>
        <v>0</v>
      </c>
      <c r="G33" s="105">
        <f t="shared" si="1"/>
        <v>0</v>
      </c>
      <c r="H33" s="105">
        <f>SCP!H25+SCP!I25+SCP!J25</f>
        <v>0</v>
      </c>
      <c r="I33" s="105">
        <f>SCP!J25</f>
        <v>0</v>
      </c>
      <c r="J33" s="105">
        <f t="shared" si="0"/>
        <v>0</v>
      </c>
    </row>
    <row r="34" spans="2:10" ht="12">
      <c r="B34" s="128"/>
      <c r="C34" s="163"/>
      <c r="D34" s="345" t="s">
        <v>71</v>
      </c>
      <c r="E34" s="105">
        <f>-SCP!D26</f>
        <v>0</v>
      </c>
      <c r="F34" s="105">
        <f>-SCP!F26</f>
        <v>0</v>
      </c>
      <c r="G34" s="105">
        <f t="shared" si="1"/>
        <v>0</v>
      </c>
      <c r="H34" s="105">
        <f>SCP!H26+SCP!I2++SCP!J26</f>
        <v>0</v>
      </c>
      <c r="I34" s="105">
        <f>SCP!J26</f>
        <v>0</v>
      </c>
      <c r="J34" s="105">
        <f t="shared" si="0"/>
        <v>0</v>
      </c>
    </row>
    <row r="35" spans="2:10" ht="12">
      <c r="B35" s="128"/>
      <c r="C35" s="163"/>
      <c r="D35" s="345" t="s">
        <v>73</v>
      </c>
      <c r="E35" s="105">
        <f>-SCP!D27</f>
        <v>0</v>
      </c>
      <c r="F35" s="105">
        <f>-SCP!F27</f>
        <v>0</v>
      </c>
      <c r="G35" s="105">
        <f t="shared" si="1"/>
        <v>0</v>
      </c>
      <c r="H35" s="105">
        <f>SCP!H27+SCP!I27+SCP!J27</f>
        <v>0</v>
      </c>
      <c r="I35" s="105">
        <f>SCP!J27</f>
        <v>0</v>
      </c>
      <c r="J35" s="105">
        <f t="shared" si="0"/>
        <v>0</v>
      </c>
    </row>
    <row r="36" spans="2:10" ht="12">
      <c r="B36" s="128"/>
      <c r="C36" s="163"/>
      <c r="D36" s="345" t="s">
        <v>75</v>
      </c>
      <c r="E36" s="105">
        <f>-SCP!D28</f>
        <v>0</v>
      </c>
      <c r="F36" s="105">
        <f>-SCP!F28</f>
        <v>0</v>
      </c>
      <c r="G36" s="105">
        <f t="shared" si="1"/>
        <v>0</v>
      </c>
      <c r="H36" s="105">
        <f>SCP!H28+SCP!I28+SCP!J28</f>
        <v>0</v>
      </c>
      <c r="I36" s="105">
        <f>SCP!J28</f>
        <v>0</v>
      </c>
      <c r="J36" s="105">
        <f t="shared" si="0"/>
        <v>0</v>
      </c>
    </row>
    <row r="37" spans="1:11" s="1" customFormat="1" ht="12">
      <c r="A37" s="124"/>
      <c r="B37" s="140"/>
      <c r="C37" s="778" t="s">
        <v>317</v>
      </c>
      <c r="D37" s="779"/>
      <c r="E37" s="360">
        <f>SUM(E38)</f>
        <v>0</v>
      </c>
      <c r="F37" s="360">
        <f>SUM(F38)</f>
        <v>0</v>
      </c>
      <c r="G37" s="360">
        <f t="shared" si="1"/>
        <v>0</v>
      </c>
      <c r="H37" s="360">
        <f>SUM(H38)</f>
        <v>0</v>
      </c>
      <c r="I37" s="360">
        <f>SUM(I38)</f>
        <v>0</v>
      </c>
      <c r="J37" s="360">
        <f t="shared" si="0"/>
        <v>0</v>
      </c>
      <c r="K37" s="124"/>
    </row>
    <row r="38" spans="2:10" ht="12">
      <c r="B38" s="128"/>
      <c r="C38" s="163"/>
      <c r="D38" s="345" t="s">
        <v>77</v>
      </c>
      <c r="E38" s="105">
        <f>-SCP!D29</f>
        <v>0</v>
      </c>
      <c r="F38" s="105">
        <f>-SCP!F29</f>
        <v>0</v>
      </c>
      <c r="G38" s="105">
        <f t="shared" si="1"/>
        <v>0</v>
      </c>
      <c r="H38" s="105">
        <f>SCP!H29+SCP!I29+SCP!J29</f>
        <v>0</v>
      </c>
      <c r="I38" s="105">
        <f>SCP!J29</f>
        <v>0</v>
      </c>
      <c r="J38" s="105">
        <f t="shared" si="0"/>
        <v>0</v>
      </c>
    </row>
    <row r="39" spans="1:11" s="1" customFormat="1" ht="15" customHeight="1">
      <c r="A39" s="124"/>
      <c r="B39" s="780" t="s">
        <v>79</v>
      </c>
      <c r="C39" s="781"/>
      <c r="D39" s="782"/>
      <c r="E39" s="360">
        <f>-SCP!D30</f>
        <v>0</v>
      </c>
      <c r="F39" s="360">
        <f>-SCP!F30</f>
        <v>0</v>
      </c>
      <c r="G39" s="360">
        <f t="shared" si="1"/>
        <v>0</v>
      </c>
      <c r="H39" s="360">
        <f>SCP!H30+SCP!I30+SCP!J30</f>
        <v>0</v>
      </c>
      <c r="I39" s="360">
        <f>SCP!J30</f>
        <v>0</v>
      </c>
      <c r="J39" s="360">
        <f t="shared" si="0"/>
        <v>0</v>
      </c>
      <c r="K39" s="124"/>
    </row>
    <row r="40" spans="1:11" s="1" customFormat="1" ht="15" customHeight="1">
      <c r="A40" s="124"/>
      <c r="B40" s="780" t="s">
        <v>81</v>
      </c>
      <c r="C40" s="781"/>
      <c r="D40" s="782"/>
      <c r="E40" s="360">
        <f>-SCP!D31</f>
        <v>0</v>
      </c>
      <c r="F40" s="360">
        <f>-SCP!F31</f>
        <v>0</v>
      </c>
      <c r="G40" s="360">
        <f t="shared" si="1"/>
        <v>0</v>
      </c>
      <c r="H40" s="360">
        <f>SCP!H31+SCP!I31+SCP!J31</f>
        <v>0</v>
      </c>
      <c r="I40" s="360">
        <f>SCP!J31</f>
        <v>0</v>
      </c>
      <c r="J40" s="360">
        <f t="shared" si="0"/>
        <v>0</v>
      </c>
      <c r="K40" s="124"/>
    </row>
    <row r="41" spans="1:11" s="1" customFormat="1" ht="15.75" customHeight="1">
      <c r="A41" s="124"/>
      <c r="B41" s="780" t="s">
        <v>83</v>
      </c>
      <c r="C41" s="781"/>
      <c r="D41" s="782"/>
      <c r="E41" s="360">
        <f>-SCP!D32</f>
        <v>0</v>
      </c>
      <c r="F41" s="360">
        <f>-SCP!F32</f>
        <v>0</v>
      </c>
      <c r="G41" s="360">
        <f t="shared" si="1"/>
        <v>0</v>
      </c>
      <c r="H41" s="360">
        <f>SCP!H32+SCP!I32+SCP!J32</f>
        <v>0</v>
      </c>
      <c r="I41" s="360">
        <f>SCP!J32</f>
        <v>0</v>
      </c>
      <c r="J41" s="360">
        <f t="shared" si="0"/>
        <v>0</v>
      </c>
      <c r="K41" s="124"/>
    </row>
    <row r="42" spans="2:10" ht="12">
      <c r="B42" s="164"/>
      <c r="C42" s="165"/>
      <c r="D42" s="166"/>
      <c r="E42" s="510"/>
      <c r="F42" s="511"/>
      <c r="G42" s="511"/>
      <c r="H42" s="511"/>
      <c r="I42" s="511"/>
      <c r="J42" s="511"/>
    </row>
    <row r="43" spans="1:11" s="1" customFormat="1" ht="12">
      <c r="A43" s="124"/>
      <c r="B43" s="147"/>
      <c r="C43" s="786" t="s">
        <v>248</v>
      </c>
      <c r="D43" s="787"/>
      <c r="E43" s="398">
        <f aca="true" t="shared" si="2" ref="E43:J43">+E13+E16+E25+E29+E32+E37+E39+E40+E41</f>
        <v>7002457993</v>
      </c>
      <c r="F43" s="398">
        <f t="shared" si="2"/>
        <v>156967661.2</v>
      </c>
      <c r="G43" s="398">
        <f t="shared" si="2"/>
        <v>7159425654.2</v>
      </c>
      <c r="H43" s="398">
        <f t="shared" si="2"/>
        <v>3843162763.8599997</v>
      </c>
      <c r="I43" s="398">
        <f t="shared" si="2"/>
        <v>710862303.76</v>
      </c>
      <c r="J43" s="398">
        <f t="shared" si="2"/>
        <v>3316262890.34</v>
      </c>
      <c r="K43" s="124"/>
    </row>
    <row r="44" spans="2:10" ht="12">
      <c r="B44" s="693" t="s">
        <v>149</v>
      </c>
      <c r="C44" s="693"/>
      <c r="D44" s="693"/>
      <c r="E44" s="693"/>
      <c r="F44" s="693"/>
      <c r="G44" s="693"/>
      <c r="H44" s="693"/>
      <c r="I44" s="21"/>
      <c r="J44" s="21"/>
    </row>
    <row r="45" spans="2:10" ht="53.25" customHeight="1" hidden="1">
      <c r="B45" s="715" t="s">
        <v>249</v>
      </c>
      <c r="C45" s="716"/>
      <c r="D45" s="716"/>
      <c r="E45" s="716"/>
      <c r="F45" s="716"/>
      <c r="G45" s="716"/>
      <c r="H45" s="716"/>
      <c r="I45" s="716"/>
      <c r="J45" s="143"/>
    </row>
    <row r="46" spans="2:10" ht="12">
      <c r="B46" s="693"/>
      <c r="C46" s="693"/>
      <c r="D46" s="693"/>
      <c r="E46" s="693"/>
      <c r="F46" s="693"/>
      <c r="G46" s="693"/>
      <c r="H46" s="693"/>
      <c r="I46" s="70"/>
      <c r="J46" s="143"/>
    </row>
    <row r="47" spans="5:10" ht="12">
      <c r="E47" s="143"/>
      <c r="F47" s="143"/>
      <c r="G47" s="144"/>
      <c r="H47" s="143"/>
      <c r="I47" s="143"/>
      <c r="J47" s="143"/>
    </row>
    <row r="48" spans="5:10" ht="12">
      <c r="E48" s="143"/>
      <c r="F48" s="143"/>
      <c r="G48" s="144"/>
      <c r="H48" s="143"/>
      <c r="I48" s="143"/>
      <c r="J48" s="143"/>
    </row>
    <row r="49" spans="5:10" ht="12">
      <c r="E49" s="143"/>
      <c r="F49" s="143"/>
      <c r="G49" s="144"/>
      <c r="H49" s="143"/>
      <c r="I49" s="143"/>
      <c r="J49" s="143"/>
    </row>
    <row r="50" spans="5:10" ht="12">
      <c r="E50" s="143"/>
      <c r="F50" s="143"/>
      <c r="G50" s="144"/>
      <c r="H50" s="143"/>
      <c r="I50" s="143"/>
      <c r="J50" s="143"/>
    </row>
    <row r="51" spans="5:10" ht="12">
      <c r="E51" s="143"/>
      <c r="F51" s="143"/>
      <c r="G51" s="144"/>
      <c r="H51" s="143"/>
      <c r="I51" s="143"/>
      <c r="J51" s="143"/>
    </row>
    <row r="52" spans="5:10" ht="13.5" customHeight="1">
      <c r="E52" s="143"/>
      <c r="F52" s="143"/>
      <c r="G52" s="144"/>
      <c r="H52" s="143"/>
      <c r="I52" s="143"/>
      <c r="J52" s="143"/>
    </row>
    <row r="53" spans="4:10" ht="12">
      <c r="D53" s="1"/>
      <c r="E53" s="310"/>
      <c r="F53" s="310"/>
      <c r="G53" s="311"/>
      <c r="H53" s="310"/>
      <c r="I53" s="310"/>
      <c r="J53" s="310"/>
    </row>
    <row r="54" spans="4:10" ht="12">
      <c r="D54" s="307"/>
      <c r="E54" s="310"/>
      <c r="F54" s="310"/>
      <c r="G54" s="313"/>
      <c r="H54" s="312"/>
      <c r="I54" s="312"/>
      <c r="J54" s="312"/>
    </row>
    <row r="55" spans="4:10" ht="15" customHeight="1">
      <c r="D55" s="356" t="str">
        <f>+ENTE!D10</f>
        <v>ING. ENRIQUE DE ECHAVARRI LARY</v>
      </c>
      <c r="E55" s="356"/>
      <c r="F55" s="356"/>
      <c r="G55" s="731" t="str">
        <f>+ENTE!D14</f>
        <v>LIC. RICARDO SALVADOR BACA MUÑOZ</v>
      </c>
      <c r="H55" s="731"/>
      <c r="I55" s="731"/>
      <c r="J55" s="731"/>
    </row>
    <row r="56" spans="4:10" ht="15" customHeight="1">
      <c r="D56" s="356" t="str">
        <f>+ENTE!D12</f>
        <v>COORDINADOR GENERAL </v>
      </c>
      <c r="E56" s="356"/>
      <c r="F56" s="356"/>
      <c r="G56" s="730" t="str">
        <f>+ENTE!D16</f>
        <v>DIRECTOR DE ADMINISTRACION</v>
      </c>
      <c r="H56" s="730"/>
      <c r="I56" s="730"/>
      <c r="J56" s="730"/>
    </row>
    <row r="57" spans="5:10" ht="12">
      <c r="E57" s="143"/>
      <c r="F57" s="143"/>
      <c r="G57" s="143"/>
      <c r="H57" s="143"/>
      <c r="I57" s="143"/>
      <c r="J57" s="144"/>
    </row>
  </sheetData>
  <sheetProtection sheet="1" objects="1" scenarios="1" selectLockedCells="1"/>
  <mergeCells count="24">
    <mergeCell ref="B46:H46"/>
    <mergeCell ref="G55:J55"/>
    <mergeCell ref="G56:J56"/>
    <mergeCell ref="B40:D40"/>
    <mergeCell ref="B41:D41"/>
    <mergeCell ref="C43:D43"/>
    <mergeCell ref="B45:I45"/>
    <mergeCell ref="B44:H44"/>
    <mergeCell ref="B5:J5"/>
    <mergeCell ref="B2:J2"/>
    <mergeCell ref="B3:J3"/>
    <mergeCell ref="B4:J4"/>
    <mergeCell ref="B39:D39"/>
    <mergeCell ref="C7:J7"/>
    <mergeCell ref="B9:D11"/>
    <mergeCell ref="E9:I9"/>
    <mergeCell ref="J9:J10"/>
    <mergeCell ref="B12:D12"/>
    <mergeCell ref="C13:D13"/>
    <mergeCell ref="C16:D16"/>
    <mergeCell ref="C25:D25"/>
    <mergeCell ref="C29:D29"/>
    <mergeCell ref="C32:D32"/>
    <mergeCell ref="C37:D37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1"/>
  <headerFooter>
    <oddFooter>&amp;C&amp;A&amp;RPágina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33"/>
  <sheetViews>
    <sheetView showGridLines="0" tabSelected="1" showOutlineSymbol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2" width="11.421875" style="181" customWidth="1"/>
    <col min="3" max="3" width="83.00390625" style="181" customWidth="1"/>
    <col min="4" max="4" width="94.421875" style="181" bestFit="1" customWidth="1"/>
    <col min="5" max="16384" width="11.421875" style="181" customWidth="1"/>
  </cols>
  <sheetData>
    <row r="2" spans="3:4" ht="36">
      <c r="C2" s="669" t="s">
        <v>763</v>
      </c>
      <c r="D2" s="669"/>
    </row>
    <row r="3" spans="3:4" ht="31.5">
      <c r="C3" s="670" t="s">
        <v>764</v>
      </c>
      <c r="D3" s="670"/>
    </row>
    <row r="4" spans="3:11" ht="23.25">
      <c r="C4" s="671" t="s">
        <v>1</v>
      </c>
      <c r="D4" s="671"/>
      <c r="K4" s="182"/>
    </row>
    <row r="5" spans="3:15" ht="21">
      <c r="C5" s="186" t="s">
        <v>350</v>
      </c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</row>
    <row r="6" spans="3:15" ht="21">
      <c r="C6" s="186" t="s">
        <v>788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</row>
    <row r="7" spans="3:15" ht="26.25">
      <c r="C7" s="672" t="s">
        <v>353</v>
      </c>
      <c r="D7" s="672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</row>
    <row r="8" spans="3:15" ht="21">
      <c r="C8" s="199" t="s">
        <v>336</v>
      </c>
      <c r="D8" s="199" t="s">
        <v>343</v>
      </c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</row>
    <row r="9" spans="3:15" ht="21">
      <c r="C9" s="199" t="s">
        <v>337</v>
      </c>
      <c r="D9" s="199" t="s">
        <v>344</v>
      </c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</row>
    <row r="10" spans="3:15" ht="21">
      <c r="C10" s="199" t="s">
        <v>338</v>
      </c>
      <c r="D10" s="199" t="s">
        <v>345</v>
      </c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</row>
    <row r="11" spans="3:15" ht="21">
      <c r="C11" s="199" t="s">
        <v>339</v>
      </c>
      <c r="D11" s="199" t="s">
        <v>346</v>
      </c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</row>
    <row r="12" spans="3:15" ht="21">
      <c r="C12" s="199" t="s">
        <v>340</v>
      </c>
      <c r="D12" s="199" t="s">
        <v>347</v>
      </c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</row>
    <row r="13" spans="3:15" ht="21">
      <c r="C13" s="199" t="s">
        <v>341</v>
      </c>
      <c r="D13" s="199" t="s">
        <v>348</v>
      </c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</row>
    <row r="14" spans="3:15" ht="21">
      <c r="C14" s="199" t="s">
        <v>342</v>
      </c>
      <c r="D14" s="199" t="s">
        <v>349</v>
      </c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</row>
    <row r="15" spans="3:15" ht="21">
      <c r="C15" s="199" t="s">
        <v>765</v>
      </c>
      <c r="D15" s="199" t="s">
        <v>634</v>
      </c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</row>
    <row r="16" spans="3:15" ht="21">
      <c r="C16" s="199" t="s">
        <v>796</v>
      </c>
      <c r="D16" s="19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</row>
    <row r="17" spans="1:6" ht="21">
      <c r="A17" s="179"/>
      <c r="C17" s="169"/>
      <c r="D17" s="185"/>
      <c r="F17" s="169"/>
    </row>
    <row r="18" spans="3:6" ht="26.25">
      <c r="C18" s="672" t="s">
        <v>354</v>
      </c>
      <c r="D18" s="672"/>
      <c r="F18" s="169"/>
    </row>
    <row r="19" spans="3:15" ht="21">
      <c r="C19" s="199" t="s">
        <v>351</v>
      </c>
      <c r="D19" s="199" t="s">
        <v>569</v>
      </c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</row>
    <row r="20" spans="3:15" ht="21">
      <c r="C20" s="199" t="s">
        <v>352</v>
      </c>
      <c r="D20" s="199" t="s">
        <v>573</v>
      </c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</row>
    <row r="21" spans="3:15" ht="21">
      <c r="C21" s="199" t="s">
        <v>492</v>
      </c>
      <c r="D21" s="199" t="s">
        <v>663</v>
      </c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</row>
    <row r="22" spans="3:15" ht="21">
      <c r="C22" s="184"/>
      <c r="D22" s="184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</row>
    <row r="23" spans="3:15" ht="21">
      <c r="C23" s="184"/>
      <c r="D23" s="184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</row>
    <row r="24" spans="3:15" ht="21">
      <c r="C24" s="184"/>
      <c r="D24" s="184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</row>
    <row r="25" spans="3:15" ht="21">
      <c r="C25" s="184"/>
      <c r="D25" s="184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</row>
    <row r="26" spans="3:10" ht="21">
      <c r="C26" s="169"/>
      <c r="I26" s="180"/>
      <c r="J26" s="180"/>
    </row>
    <row r="27" ht="15">
      <c r="I27" s="181">
        <f>+UPPER(C26)</f>
      </c>
    </row>
    <row r="30" ht="15">
      <c r="A30" s="124"/>
    </row>
    <row r="31" ht="15">
      <c r="A31" s="124"/>
    </row>
    <row r="32" ht="15">
      <c r="A32" s="124"/>
    </row>
    <row r="33" ht="15">
      <c r="A33" s="124"/>
    </row>
  </sheetData>
  <sheetProtection selectLockedCells="1" selectUnlockedCells="1"/>
  <mergeCells count="5">
    <mergeCell ref="C2:D2"/>
    <mergeCell ref="C3:D3"/>
    <mergeCell ref="C4:D4"/>
    <mergeCell ref="C18:D18"/>
    <mergeCell ref="C7:D7"/>
  </mergeCells>
  <hyperlinks>
    <hyperlink ref="C5" location="ENTE!A1" display="DATOS DE LA ENTIDAD"/>
    <hyperlink ref="C8" location="SCRI!A1" display="SALDOS FINALES CLASIFICADOR POR RUBRO DE INGRESOS"/>
    <hyperlink ref="C9" location="SCA!A1" display="SALDOS FINALES CLASIFICACIÓN ADMINISTRATIVA"/>
    <hyperlink ref="C10" location="SCTG!A1" display="SALDOS FINALES CLASIFICADOR POR TIPO DE GASTO"/>
    <hyperlink ref="C11" location="SCOG!A1" display="SALDOS FINALES CLASIFICADOR POR OBJETO DE GASTO"/>
    <hyperlink ref="C12" location="SCFG!A1" display="SALDOS FINALES CLASIFICADOR FUNCIONAL DEL GASTO"/>
    <hyperlink ref="C13" location="SCP!A1" display="SALDOS FINALES CLASIFICACIÓN PROGRAMÁTICA"/>
    <hyperlink ref="C14" location="SFF!A1" display="SALDOS FINALES FUENTE DE FINANCIAMIENTO"/>
    <hyperlink ref="D8" location="EAI!A1" display="ESTADO ANALÍTICO DEL INGRESO"/>
    <hyperlink ref="D9" location="CAdmon!A1" display="ESTADO ANALÍTICO DEL EGRESO POR CLASIFICACION ADMINISTRATIVA"/>
    <hyperlink ref="D10" location="CTG!A1" display="ESTADO ANALÍTICO DEL EGRESO POR TIPO DE GASTO"/>
    <hyperlink ref="D11" location="COG!A1" display="ESTADO ANALÍTICO DEL EGRESO POR OBJETO DEL GASTO"/>
    <hyperlink ref="D12" location="CFG!A1" display="ESTADO ANALÍTICO DEL EGRESO POR FUNCIONAL DEL GASTO"/>
    <hyperlink ref="D13" location="CFF!A1" display="ESTADO ANALÍTICO DEL EGRESO POR FUENTE DE FINANCIAMIENTO"/>
    <hyperlink ref="D14" location="CProg!A1" display="GASTO POR CATEGORÍA PROGRAMÁTICA"/>
    <hyperlink ref="D15" location="'Post Fiscal'!A1" display="POSTURA FISCAL"/>
    <hyperlink ref="C19" location="BP!A1" display="BALANCE PRESUPUESTARIO"/>
    <hyperlink ref="C20" location="EAID!A1" display="ESTADO ANALÍTICO DE INGRESOS DETALLADO"/>
    <hyperlink ref="C21" location="COGCC!A1" display="CLASIFICACIÓN POR OBJETO DEL GASTO (CAPÍTULO Y CONCEPTO)"/>
    <hyperlink ref="D19" location="CA!A1" display="CLASIFICACIÓN ADMINISTRATIVA"/>
    <hyperlink ref="D20" location="CFFF!A1" display="CLASIFICACIÓN FUNCIONAL (FINALIDAD Y FUNCIÓN)"/>
    <hyperlink ref="D21" location="CSPC!A1" display="CLASIFICACIÓN DE SERVICIOS PERSONALES POR CATEGORÍA"/>
    <hyperlink ref="C15" location="Int!Área_de_impresión" display="INFORME DE INTERESES DE LA DEUDA"/>
    <hyperlink ref="C6" location="COMPROBACIÓN_TOTALES" display="COMPROBACIÓN TOTALES"/>
    <hyperlink ref="C16" location="'End Neto'!A1" display="INFORME DE ENDEUDAMIENTO NET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"/>
  <sheetViews>
    <sheetView showGridLines="0" view="pageBreakPreview" zoomScaleSheetLayoutView="100" zoomScalePageLayoutView="0" workbookViewId="0" topLeftCell="A1">
      <selection activeCell="J16" sqref="J14:J16"/>
    </sheetView>
  </sheetViews>
  <sheetFormatPr defaultColWidth="11.421875" defaultRowHeight="15"/>
  <cols>
    <col min="1" max="1" width="2.28125" style="3" customWidth="1"/>
    <col min="2" max="2" width="11.28125" style="3" customWidth="1"/>
    <col min="3" max="3" width="38.421875" style="3" customWidth="1"/>
    <col min="4" max="5" width="17.7109375" style="3" bestFit="1" customWidth="1"/>
    <col min="6" max="6" width="24.7109375" style="3" bestFit="1" customWidth="1"/>
    <col min="7" max="7" width="18.140625" style="3" bestFit="1" customWidth="1"/>
    <col min="8" max="8" width="17.7109375" style="3" bestFit="1" customWidth="1"/>
    <col min="9" max="9" width="13.00390625" style="3" bestFit="1" customWidth="1"/>
    <col min="10" max="10" width="14.421875" style="3" bestFit="1" customWidth="1"/>
    <col min="11" max="11" width="2.57421875" style="3" customWidth="1"/>
    <col min="12" max="16384" width="11.421875" style="3" customWidth="1"/>
  </cols>
  <sheetData>
    <row r="2" spans="3:11" s="2" customFormat="1" ht="12">
      <c r="C2" s="677" t="s">
        <v>378</v>
      </c>
      <c r="D2" s="677"/>
      <c r="E2" s="677"/>
      <c r="F2" s="677"/>
      <c r="G2" s="677"/>
      <c r="H2" s="677"/>
      <c r="I2" s="677"/>
      <c r="J2" s="281"/>
      <c r="K2" s="281"/>
    </row>
    <row r="3" spans="3:9" s="2" customFormat="1" ht="12">
      <c r="C3" s="678" t="s">
        <v>368</v>
      </c>
      <c r="D3" s="678"/>
      <c r="E3" s="678"/>
      <c r="F3" s="678"/>
      <c r="G3" s="678"/>
      <c r="H3" s="678"/>
      <c r="I3" s="678"/>
    </row>
    <row r="4" spans="3:9" s="2" customFormat="1" ht="12">
      <c r="C4" s="678" t="str">
        <f>"Del 1 de enero al "&amp;TEXT(INDEX(Periodos,ENTE!D18,1),"dd")&amp;" de "&amp;TEXT(INDEX(Periodos,ENTE!D18,1),"mmmm")&amp;" de "&amp;TEXT(INDEX(Periodos,ENTE!D18,1),"aaaa")&amp;""</f>
        <v>Del 1 de enero al 30 de septiembre de 2017</v>
      </c>
      <c r="D4" s="678"/>
      <c r="E4" s="678"/>
      <c r="F4" s="678"/>
      <c r="G4" s="678"/>
      <c r="H4" s="678"/>
      <c r="I4" s="678"/>
    </row>
    <row r="5" spans="3:9" s="2" customFormat="1" ht="12">
      <c r="C5" s="678" t="s">
        <v>92</v>
      </c>
      <c r="D5" s="678"/>
      <c r="E5" s="678"/>
      <c r="F5" s="678"/>
      <c r="G5" s="678"/>
      <c r="H5" s="678"/>
      <c r="I5" s="678"/>
    </row>
    <row r="6" spans="3:8" s="2" customFormat="1" ht="12">
      <c r="C6" s="5"/>
      <c r="E6" s="6"/>
      <c r="F6" s="6"/>
      <c r="G6" s="6"/>
      <c r="H6" s="7"/>
    </row>
    <row r="7" spans="2:10" s="2" customFormat="1" ht="12">
      <c r="B7" s="4" t="s">
        <v>4</v>
      </c>
      <c r="C7" s="679" t="str">
        <f>ENTE!D8</f>
        <v>UNIDAD DE SERVICIOS PARA LA EDUCACION BASICA EN EL ESTADO DE QUERETARO</v>
      </c>
      <c r="D7" s="679"/>
      <c r="E7" s="679"/>
      <c r="F7" s="679"/>
      <c r="G7" s="679"/>
      <c r="H7" s="679"/>
      <c r="I7" s="679"/>
      <c r="J7" s="679"/>
    </row>
    <row r="8" spans="3:8" s="2" customFormat="1" ht="12">
      <c r="C8" s="5"/>
      <c r="E8" s="6"/>
      <c r="F8" s="6"/>
      <c r="G8" s="6"/>
      <c r="H8" s="7"/>
    </row>
    <row r="9" spans="2:10" s="2" customFormat="1" ht="12">
      <c r="B9" s="676" t="s">
        <v>378</v>
      </c>
      <c r="C9" s="676"/>
      <c r="D9" s="676">
        <v>2017</v>
      </c>
      <c r="E9" s="676"/>
      <c r="F9" s="676"/>
      <c r="G9" s="676"/>
      <c r="H9" s="676"/>
      <c r="I9" s="676"/>
      <c r="J9" s="676"/>
    </row>
    <row r="10" spans="2:10" s="2" customFormat="1" ht="28.5" customHeight="1">
      <c r="B10" s="189" t="s">
        <v>360</v>
      </c>
      <c r="C10" s="189" t="s">
        <v>361</v>
      </c>
      <c r="D10" s="189" t="s">
        <v>370</v>
      </c>
      <c r="E10" s="189" t="s">
        <v>371</v>
      </c>
      <c r="F10" s="189" t="s">
        <v>372</v>
      </c>
      <c r="G10" s="189" t="s">
        <v>373</v>
      </c>
      <c r="H10" s="189" t="s">
        <v>374</v>
      </c>
      <c r="I10" s="189" t="s">
        <v>375</v>
      </c>
      <c r="J10" s="189" t="s">
        <v>376</v>
      </c>
    </row>
    <row r="11" spans="2:10" ht="12">
      <c r="B11" s="193">
        <v>1</v>
      </c>
      <c r="C11" s="194" t="s">
        <v>84</v>
      </c>
      <c r="D11" s="188"/>
      <c r="E11" s="188"/>
      <c r="F11" s="188"/>
      <c r="G11" s="188"/>
      <c r="H11" s="188"/>
      <c r="I11" s="188"/>
      <c r="J11" s="190"/>
    </row>
    <row r="12" spans="2:10" ht="13.5" customHeight="1">
      <c r="B12" s="193">
        <v>2</v>
      </c>
      <c r="C12" s="194" t="s">
        <v>85</v>
      </c>
      <c r="D12" s="188"/>
      <c r="E12" s="188"/>
      <c r="F12" s="188"/>
      <c r="G12" s="188"/>
      <c r="H12" s="188"/>
      <c r="I12" s="188"/>
      <c r="J12" s="190"/>
    </row>
    <row r="13" spans="2:10" ht="12">
      <c r="B13" s="193">
        <v>3</v>
      </c>
      <c r="C13" s="194" t="s">
        <v>86</v>
      </c>
      <c r="D13" s="188"/>
      <c r="E13" s="188"/>
      <c r="F13" s="188"/>
      <c r="G13" s="188"/>
      <c r="H13" s="188"/>
      <c r="I13" s="188"/>
      <c r="J13" s="190"/>
    </row>
    <row r="14" spans="2:10" ht="12">
      <c r="B14" s="193">
        <v>4</v>
      </c>
      <c r="C14" s="194" t="s">
        <v>87</v>
      </c>
      <c r="D14" s="188">
        <v>-2000000</v>
      </c>
      <c r="E14" s="188">
        <v>1030755.5299999998</v>
      </c>
      <c r="F14" s="188">
        <v>-220084.96</v>
      </c>
      <c r="G14" s="188"/>
      <c r="H14" s="188"/>
      <c r="I14" s="188"/>
      <c r="J14" s="190">
        <v>1189329.4300000002</v>
      </c>
    </row>
    <row r="15" spans="2:10" ht="12">
      <c r="B15" s="193">
        <v>5</v>
      </c>
      <c r="C15" s="194" t="s">
        <v>88</v>
      </c>
      <c r="D15" s="188">
        <v>-6423385478</v>
      </c>
      <c r="E15" s="188">
        <v>3160749463.3600025</v>
      </c>
      <c r="F15" s="188">
        <v>-25169757.13</v>
      </c>
      <c r="G15" s="188"/>
      <c r="H15" s="188">
        <v>4291974.279999999</v>
      </c>
      <c r="I15" s="188">
        <v>3110484970.799998</v>
      </c>
      <c r="J15" s="190">
        <v>173028826.69000006</v>
      </c>
    </row>
    <row r="16" spans="2:10" ht="12">
      <c r="B16" s="193">
        <v>6</v>
      </c>
      <c r="C16" s="194" t="s">
        <v>89</v>
      </c>
      <c r="D16" s="188">
        <v>-577072515</v>
      </c>
      <c r="E16" s="188">
        <v>154482671.45</v>
      </c>
      <c r="F16" s="188">
        <v>-131577819.11000025</v>
      </c>
      <c r="G16" s="188"/>
      <c r="H16" s="188">
        <v>5767007.05</v>
      </c>
      <c r="I16" s="188">
        <v>11756507.970000047</v>
      </c>
      <c r="J16" s="190">
        <v>536644147.64</v>
      </c>
    </row>
    <row r="17" spans="2:10" ht="12">
      <c r="B17" s="195">
        <v>7</v>
      </c>
      <c r="C17" s="17" t="s">
        <v>90</v>
      </c>
      <c r="D17" s="191"/>
      <c r="E17" s="191"/>
      <c r="F17" s="191"/>
      <c r="G17" s="191"/>
      <c r="H17" s="191"/>
      <c r="I17" s="191"/>
      <c r="J17" s="192"/>
    </row>
    <row r="18" spans="4:10" ht="12">
      <c r="D18" s="10">
        <f aca="true" t="shared" si="0" ref="D18:J18">SUM(D11:D17)</f>
        <v>-7002457993</v>
      </c>
      <c r="E18" s="10">
        <f t="shared" si="0"/>
        <v>3316262890.3400025</v>
      </c>
      <c r="F18" s="10">
        <f t="shared" si="0"/>
        <v>-156967661.20000026</v>
      </c>
      <c r="G18" s="10">
        <f t="shared" si="0"/>
        <v>0</v>
      </c>
      <c r="H18" s="10">
        <f t="shared" si="0"/>
        <v>10058981.329999998</v>
      </c>
      <c r="I18" s="10">
        <f t="shared" si="0"/>
        <v>3122241478.769998</v>
      </c>
      <c r="J18" s="10">
        <f t="shared" si="0"/>
        <v>710862303.76</v>
      </c>
    </row>
    <row r="19" spans="4:10" ht="12">
      <c r="D19" s="8"/>
      <c r="E19" s="8"/>
      <c r="F19" s="8"/>
      <c r="G19" s="8"/>
      <c r="H19" s="8"/>
      <c r="I19" s="8"/>
      <c r="J19" s="8"/>
    </row>
    <row r="20" spans="4:10" ht="12">
      <c r="D20" s="11" t="str">
        <f>IF(SUM(D18:J18)=0," ","ERROR EN LA SUMATORIA DE LOS SALDOS, LA SUMA DE TODAS LAS COLUMNAS DEBE SER CERO, HAY UN DESCUADRE POR: "&amp;SUM(D18:J18))</f>
        <v> </v>
      </c>
      <c r="E20" s="8"/>
      <c r="F20" s="8"/>
      <c r="G20" s="8"/>
      <c r="H20" s="8"/>
      <c r="I20" s="8"/>
      <c r="J20" s="8"/>
    </row>
  </sheetData>
  <sheetProtection sheet="1" objects="1" scenarios="1" selectLockedCells="1"/>
  <mergeCells count="7">
    <mergeCell ref="C3:I3"/>
    <mergeCell ref="C2:I2"/>
    <mergeCell ref="B9:C9"/>
    <mergeCell ref="D9:J9"/>
    <mergeCell ref="C7:J7"/>
    <mergeCell ref="C5:I5"/>
    <mergeCell ref="C4:I4"/>
  </mergeCells>
  <printOptions/>
  <pageMargins left="0.7086614173228347" right="0.7086614173228347" top="0.7480314960629921" bottom="0.7480314960629921" header="0.31496062992125984" footer="0.31496062992125984"/>
  <pageSetup fitToHeight="15" fitToWidth="1" horizontalDpi="600" verticalDpi="600" orientation="portrait" scale="50" r:id="rId1"/>
  <headerFooter>
    <oddFooter>&amp;L&amp;NBorrador&amp;C&amp;A&amp;NPágina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showGridLines="0" zoomScale="115" zoomScaleNormal="115" zoomScalePageLayoutView="0" workbookViewId="0" topLeftCell="H1">
      <selection activeCell="K11" sqref="A11:K11"/>
    </sheetView>
  </sheetViews>
  <sheetFormatPr defaultColWidth="11.421875" defaultRowHeight="15"/>
  <cols>
    <col min="1" max="1" width="4.28125" style="21" customWidth="1"/>
    <col min="2" max="2" width="24.28125" style="21" customWidth="1"/>
    <col min="3" max="3" width="23.7109375" style="21" customWidth="1"/>
    <col min="4" max="5" width="20.57421875" style="21" customWidth="1"/>
    <col min="6" max="6" width="7.7109375" style="21" customWidth="1"/>
    <col min="7" max="7" width="27.140625" style="35" customWidth="1"/>
    <col min="8" max="8" width="33.8515625" style="35" customWidth="1"/>
    <col min="9" max="10" width="20.57421875" style="21" customWidth="1"/>
    <col min="11" max="11" width="4.28125" style="21" customWidth="1"/>
    <col min="12" max="16384" width="11.421875" style="21" customWidth="1"/>
  </cols>
  <sheetData>
    <row r="1" spans="2:11" s="20" customFormat="1" ht="12" customHeight="1">
      <c r="B1" s="791" t="s">
        <v>0</v>
      </c>
      <c r="C1" s="791"/>
      <c r="D1" s="791"/>
      <c r="E1" s="791"/>
      <c r="F1" s="791"/>
      <c r="G1" s="791"/>
      <c r="H1" s="791"/>
      <c r="I1" s="791"/>
      <c r="J1" s="791"/>
      <c r="K1" s="791"/>
    </row>
    <row r="2" spans="2:11" s="20" customFormat="1" ht="12" customHeight="1">
      <c r="B2" s="791" t="s">
        <v>2</v>
      </c>
      <c r="C2" s="791"/>
      <c r="D2" s="791"/>
      <c r="E2" s="791"/>
      <c r="F2" s="791"/>
      <c r="G2" s="791"/>
      <c r="H2" s="791"/>
      <c r="I2" s="791"/>
      <c r="J2" s="791"/>
      <c r="K2" s="791"/>
    </row>
    <row r="3" spans="2:11" s="20" customFormat="1" ht="12" customHeight="1">
      <c r="B3" s="791" t="s">
        <v>1</v>
      </c>
      <c r="C3" s="791"/>
      <c r="D3" s="791"/>
      <c r="E3" s="791"/>
      <c r="F3" s="791"/>
      <c r="G3" s="791"/>
      <c r="H3" s="791"/>
      <c r="I3" s="791"/>
      <c r="J3" s="791"/>
      <c r="K3" s="791"/>
    </row>
    <row r="4" spans="2:11" ht="12" customHeight="1">
      <c r="B4" s="791" t="s">
        <v>91</v>
      </c>
      <c r="C4" s="791"/>
      <c r="D4" s="791"/>
      <c r="E4" s="791"/>
      <c r="F4" s="791"/>
      <c r="G4" s="791"/>
      <c r="H4" s="791"/>
      <c r="I4" s="791"/>
      <c r="J4" s="791"/>
      <c r="K4" s="791"/>
    </row>
    <row r="5" spans="2:11" ht="12" customHeight="1">
      <c r="B5" s="791" t="s">
        <v>150</v>
      </c>
      <c r="C5" s="791"/>
      <c r="D5" s="791"/>
      <c r="E5" s="791"/>
      <c r="F5" s="791"/>
      <c r="G5" s="791"/>
      <c r="H5" s="791"/>
      <c r="I5" s="791"/>
      <c r="J5" s="791"/>
      <c r="K5" s="791"/>
    </row>
    <row r="6" spans="2:11" ht="12" customHeight="1">
      <c r="B6" s="791" t="s">
        <v>92</v>
      </c>
      <c r="C6" s="791"/>
      <c r="D6" s="791"/>
      <c r="E6" s="791"/>
      <c r="F6" s="791"/>
      <c r="G6" s="791"/>
      <c r="H6" s="791"/>
      <c r="I6" s="791"/>
      <c r="J6" s="791"/>
      <c r="K6" s="791"/>
    </row>
    <row r="7" spans="1:11" ht="12" customHeight="1">
      <c r="A7" s="22"/>
      <c r="B7" s="22"/>
      <c r="C7" s="23"/>
      <c r="D7" s="23"/>
      <c r="E7" s="23"/>
      <c r="F7" s="23"/>
      <c r="G7" s="23"/>
      <c r="H7" s="23"/>
      <c r="I7" s="20"/>
      <c r="J7" s="20"/>
      <c r="K7" s="20"/>
    </row>
    <row r="8" spans="1:11" ht="16.5" customHeight="1">
      <c r="A8" s="22"/>
      <c r="B8" s="24" t="s">
        <v>4</v>
      </c>
      <c r="C8" s="792" t="str">
        <f>ENTE!D8</f>
        <v>UNIDAD DE SERVICIOS PARA LA EDUCACION BASICA EN EL ESTADO DE QUERETARO</v>
      </c>
      <c r="D8" s="792"/>
      <c r="E8" s="792"/>
      <c r="F8" s="792"/>
      <c r="G8" s="792"/>
      <c r="H8" s="792"/>
      <c r="I8" s="792"/>
      <c r="J8" s="792"/>
      <c r="K8" s="792"/>
    </row>
    <row r="9" spans="1:11" ht="3" customHeight="1">
      <c r="A9" s="22"/>
      <c r="B9" s="24"/>
      <c r="C9" s="71"/>
      <c r="D9" s="71"/>
      <c r="E9" s="71"/>
      <c r="F9" s="71"/>
      <c r="G9" s="71"/>
      <c r="H9" s="71"/>
      <c r="I9" s="71"/>
      <c r="J9" s="71"/>
      <c r="K9" s="71"/>
    </row>
    <row r="10" spans="1:11" ht="3" customHeight="1">
      <c r="A10" s="22"/>
      <c r="B10" s="24"/>
      <c r="C10" s="71"/>
      <c r="D10" s="71"/>
      <c r="E10" s="71"/>
      <c r="F10" s="71"/>
      <c r="G10" s="71"/>
      <c r="H10" s="71"/>
      <c r="I10" s="71"/>
      <c r="J10" s="71"/>
      <c r="K10" s="71"/>
    </row>
    <row r="11" spans="1:11" s="26" customFormat="1" ht="19.5" customHeight="1">
      <c r="A11" s="170"/>
      <c r="B11" s="788" t="s">
        <v>93</v>
      </c>
      <c r="C11" s="788"/>
      <c r="D11" s="171">
        <v>2015</v>
      </c>
      <c r="E11" s="171">
        <v>2016</v>
      </c>
      <c r="F11" s="172"/>
      <c r="G11" s="788" t="s">
        <v>93</v>
      </c>
      <c r="H11" s="788"/>
      <c r="I11" s="171">
        <v>2015</v>
      </c>
      <c r="J11" s="171">
        <v>2016</v>
      </c>
      <c r="K11" s="173"/>
    </row>
    <row r="12" spans="1:11" s="20" customFormat="1" ht="3" customHeight="1">
      <c r="A12" s="27"/>
      <c r="B12" s="28"/>
      <c r="C12" s="28"/>
      <c r="D12" s="29"/>
      <c r="E12" s="29"/>
      <c r="F12" s="25"/>
      <c r="G12" s="25"/>
      <c r="H12" s="25"/>
      <c r="K12" s="30"/>
    </row>
    <row r="13" spans="1:11" s="35" customFormat="1" ht="12">
      <c r="A13" s="31"/>
      <c r="B13" s="789" t="s">
        <v>94</v>
      </c>
      <c r="C13" s="789"/>
      <c r="D13" s="32"/>
      <c r="E13" s="32"/>
      <c r="F13" s="33"/>
      <c r="G13" s="789" t="s">
        <v>95</v>
      </c>
      <c r="H13" s="789"/>
      <c r="I13" s="32"/>
      <c r="J13" s="32"/>
      <c r="K13" s="34"/>
    </row>
    <row r="14" spans="1:11" ht="12">
      <c r="A14" s="36"/>
      <c r="B14" s="790" t="s">
        <v>96</v>
      </c>
      <c r="C14" s="790"/>
      <c r="D14" s="37" t="e">
        <f>SUM(D15:D22)</f>
        <v>#REF!</v>
      </c>
      <c r="E14" s="37" t="e">
        <f>SUM(E15:E22)</f>
        <v>#REF!</v>
      </c>
      <c r="F14" s="33"/>
      <c r="G14" s="789" t="s">
        <v>97</v>
      </c>
      <c r="H14" s="789"/>
      <c r="I14" s="37" t="e">
        <f>SUM(I15:I17)</f>
        <v>#REF!</v>
      </c>
      <c r="J14" s="37" t="e">
        <f>SUM(J15:J17)</f>
        <v>#REF!</v>
      </c>
      <c r="K14" s="38"/>
    </row>
    <row r="15" spans="1:11" ht="12">
      <c r="A15" s="39"/>
      <c r="B15" s="693" t="s">
        <v>98</v>
      </c>
      <c r="C15" s="693"/>
      <c r="D15" s="40" t="e">
        <f>-SUM(#REF!)</f>
        <v>#REF!</v>
      </c>
      <c r="E15" s="40" t="e">
        <f>-SUM(#REF!)</f>
        <v>#REF!</v>
      </c>
      <c r="F15" s="33"/>
      <c r="G15" s="693" t="s">
        <v>99</v>
      </c>
      <c r="H15" s="693"/>
      <c r="I15" s="40" t="e">
        <f>SUM(#REF!)</f>
        <v>#REF!</v>
      </c>
      <c r="J15" s="40" t="e">
        <f>SUM(#REF!)</f>
        <v>#REF!</v>
      </c>
      <c r="K15" s="38"/>
    </row>
    <row r="16" spans="1:11" ht="12">
      <c r="A16" s="39"/>
      <c r="B16" s="693" t="s">
        <v>100</v>
      </c>
      <c r="C16" s="693"/>
      <c r="D16" s="40" t="e">
        <f>-SUM(#REF!)</f>
        <v>#REF!</v>
      </c>
      <c r="E16" s="40" t="e">
        <f>-SUM(#REF!)</f>
        <v>#REF!</v>
      </c>
      <c r="F16" s="33"/>
      <c r="G16" s="693" t="s">
        <v>101</v>
      </c>
      <c r="H16" s="693"/>
      <c r="I16" s="40" t="e">
        <f>SUM(#REF!)</f>
        <v>#REF!</v>
      </c>
      <c r="J16" s="40" t="e">
        <f>SUM(#REF!)</f>
        <v>#REF!</v>
      </c>
      <c r="K16" s="38"/>
    </row>
    <row r="17" spans="1:11" ht="12" customHeight="1">
      <c r="A17" s="39"/>
      <c r="B17" s="693" t="s">
        <v>102</v>
      </c>
      <c r="C17" s="693"/>
      <c r="D17" s="40" t="e">
        <f>-#REF!</f>
        <v>#REF!</v>
      </c>
      <c r="E17" s="40" t="e">
        <f>-#REF!</f>
        <v>#REF!</v>
      </c>
      <c r="F17" s="33"/>
      <c r="G17" s="693" t="s">
        <v>103</v>
      </c>
      <c r="H17" s="693"/>
      <c r="I17" s="40" t="e">
        <f>SUM(#REF!)</f>
        <v>#REF!</v>
      </c>
      <c r="J17" s="40" t="e">
        <f>SUM(#REF!)</f>
        <v>#REF!</v>
      </c>
      <c r="K17" s="38"/>
    </row>
    <row r="18" spans="1:11" ht="12">
      <c r="A18" s="39"/>
      <c r="B18" s="693" t="s">
        <v>104</v>
      </c>
      <c r="C18" s="693"/>
      <c r="D18" s="40" t="e">
        <f>-SUM(#REF!)</f>
        <v>#REF!</v>
      </c>
      <c r="E18" s="40" t="e">
        <f>-SUM(#REF!)</f>
        <v>#REF!</v>
      </c>
      <c r="F18" s="33"/>
      <c r="G18" s="41"/>
      <c r="H18" s="42"/>
      <c r="I18" s="43"/>
      <c r="J18" s="43"/>
      <c r="K18" s="38"/>
    </row>
    <row r="19" spans="1:11" ht="12">
      <c r="A19" s="39"/>
      <c r="B19" s="693" t="s">
        <v>105</v>
      </c>
      <c r="C19" s="693"/>
      <c r="D19" s="40" t="e">
        <f>-SUM(#REF!)</f>
        <v>#REF!</v>
      </c>
      <c r="E19" s="40" t="e">
        <f>-SUM(#REF!)</f>
        <v>#REF!</v>
      </c>
      <c r="F19" s="33"/>
      <c r="G19" s="789" t="s">
        <v>106</v>
      </c>
      <c r="H19" s="789"/>
      <c r="I19" s="37" t="e">
        <f>SUM(I20:I28)</f>
        <v>#REF!</v>
      </c>
      <c r="J19" s="37" t="e">
        <f>SUM(J20:J28)</f>
        <v>#REF!</v>
      </c>
      <c r="K19" s="38"/>
    </row>
    <row r="20" spans="1:11" ht="12">
      <c r="A20" s="39"/>
      <c r="B20" s="693" t="s">
        <v>107</v>
      </c>
      <c r="C20" s="693"/>
      <c r="D20" s="40" t="e">
        <f>-SUM(#REF!)</f>
        <v>#REF!</v>
      </c>
      <c r="E20" s="40" t="e">
        <f>-SUM(#REF!)</f>
        <v>#REF!</v>
      </c>
      <c r="F20" s="33"/>
      <c r="G20" s="693" t="s">
        <v>108</v>
      </c>
      <c r="H20" s="693"/>
      <c r="I20" s="40" t="e">
        <f>SUM(#REF!)</f>
        <v>#REF!</v>
      </c>
      <c r="J20" s="40" t="e">
        <f>SUM(#REF!)</f>
        <v>#REF!</v>
      </c>
      <c r="K20" s="38"/>
    </row>
    <row r="21" spans="1:11" ht="12">
      <c r="A21" s="39"/>
      <c r="B21" s="693" t="s">
        <v>109</v>
      </c>
      <c r="C21" s="693"/>
      <c r="D21" s="40" t="e">
        <f>-SUM(#REF!)</f>
        <v>#REF!</v>
      </c>
      <c r="E21" s="40" t="e">
        <f>-SUM(#REF!)</f>
        <v>#REF!</v>
      </c>
      <c r="F21" s="33"/>
      <c r="G21" s="693" t="s">
        <v>110</v>
      </c>
      <c r="H21" s="693"/>
      <c r="I21" s="40" t="e">
        <f>SUM(#REF!)</f>
        <v>#REF!</v>
      </c>
      <c r="J21" s="40" t="e">
        <f>SUM(#REF!)</f>
        <v>#REF!</v>
      </c>
      <c r="K21" s="38"/>
    </row>
    <row r="22" spans="1:11" ht="52.5" customHeight="1">
      <c r="A22" s="39"/>
      <c r="B22" s="793" t="s">
        <v>111</v>
      </c>
      <c r="C22" s="793"/>
      <c r="D22" s="40" t="e">
        <f>-SUM(#REF!)</f>
        <v>#REF!</v>
      </c>
      <c r="E22" s="40" t="e">
        <f>-SUM(#REF!)</f>
        <v>#REF!</v>
      </c>
      <c r="F22" s="33"/>
      <c r="G22" s="693" t="s">
        <v>112</v>
      </c>
      <c r="H22" s="693"/>
      <c r="I22" s="40" t="e">
        <f>SUM(#REF!)</f>
        <v>#REF!</v>
      </c>
      <c r="J22" s="40" t="e">
        <f>SUM(#REF!)</f>
        <v>#REF!</v>
      </c>
      <c r="K22" s="38"/>
    </row>
    <row r="23" spans="1:11" ht="12">
      <c r="A23" s="36"/>
      <c r="B23" s="41"/>
      <c r="C23" s="42"/>
      <c r="D23" s="43"/>
      <c r="E23" s="43"/>
      <c r="F23" s="33"/>
      <c r="G23" s="693" t="s">
        <v>113</v>
      </c>
      <c r="H23" s="693"/>
      <c r="I23" s="40" t="e">
        <f>SUM(#REF!)</f>
        <v>#REF!</v>
      </c>
      <c r="J23" s="40" t="e">
        <f>SUM(#REF!)</f>
        <v>#REF!</v>
      </c>
      <c r="K23" s="38"/>
    </row>
    <row r="24" spans="1:11" ht="36.75" customHeight="1">
      <c r="A24" s="36"/>
      <c r="B24" s="790" t="s">
        <v>114</v>
      </c>
      <c r="C24" s="790"/>
      <c r="D24" s="37" t="e">
        <f>SUM(D25:D26)</f>
        <v>#REF!</v>
      </c>
      <c r="E24" s="37" t="e">
        <f>SUM(E25:E26)</f>
        <v>#REF!</v>
      </c>
      <c r="F24" s="33"/>
      <c r="G24" s="693" t="s">
        <v>115</v>
      </c>
      <c r="H24" s="693"/>
      <c r="I24" s="40" t="e">
        <f>SUM(#REF!)</f>
        <v>#REF!</v>
      </c>
      <c r="J24" s="40" t="e">
        <f>SUM(#REF!)</f>
        <v>#REF!</v>
      </c>
      <c r="K24" s="38"/>
    </row>
    <row r="25" spans="1:11" ht="12">
      <c r="A25" s="39"/>
      <c r="B25" s="693" t="s">
        <v>116</v>
      </c>
      <c r="C25" s="693"/>
      <c r="D25" s="32" t="e">
        <f>-SUM(#REF!)</f>
        <v>#REF!</v>
      </c>
      <c r="E25" s="32" t="e">
        <f>-SUM(#REF!)</f>
        <v>#REF!</v>
      </c>
      <c r="F25" s="33"/>
      <c r="G25" s="693" t="s">
        <v>117</v>
      </c>
      <c r="H25" s="693"/>
      <c r="I25" s="40" t="e">
        <f>SUM(#REF!)</f>
        <v>#REF!</v>
      </c>
      <c r="J25" s="40" t="e">
        <f>SUM(#REF!)</f>
        <v>#REF!</v>
      </c>
      <c r="K25" s="38"/>
    </row>
    <row r="26" spans="1:11" ht="12">
      <c r="A26" s="39"/>
      <c r="B26" s="693" t="s">
        <v>118</v>
      </c>
      <c r="C26" s="693"/>
      <c r="D26" s="40" t="e">
        <f>-SUM(#REF!)</f>
        <v>#REF!</v>
      </c>
      <c r="E26" s="40" t="e">
        <f>-SUM(#REF!)</f>
        <v>#REF!</v>
      </c>
      <c r="F26" s="33"/>
      <c r="G26" s="693" t="s">
        <v>119</v>
      </c>
      <c r="H26" s="693"/>
      <c r="I26" s="40" t="e">
        <f>SUM(#REF!)</f>
        <v>#REF!</v>
      </c>
      <c r="J26" s="40" t="e">
        <f>SUM(#REF!)</f>
        <v>#REF!</v>
      </c>
      <c r="K26" s="38"/>
    </row>
    <row r="27" spans="1:11" ht="12">
      <c r="A27" s="36"/>
      <c r="B27" s="41"/>
      <c r="C27" s="42"/>
      <c r="D27" s="43"/>
      <c r="E27" s="43"/>
      <c r="F27" s="33"/>
      <c r="G27" s="693" t="s">
        <v>120</v>
      </c>
      <c r="H27" s="693"/>
      <c r="I27" s="40" t="e">
        <f>SUM(#REF!)</f>
        <v>#REF!</v>
      </c>
      <c r="J27" s="40" t="e">
        <f>SUM(#REF!)</f>
        <v>#REF!</v>
      </c>
      <c r="K27" s="38"/>
    </row>
    <row r="28" spans="1:11" ht="12">
      <c r="A28" s="39"/>
      <c r="B28" s="790" t="s">
        <v>121</v>
      </c>
      <c r="C28" s="790"/>
      <c r="D28" s="37" t="e">
        <f>SUM(D29:D33)</f>
        <v>#REF!</v>
      </c>
      <c r="E28" s="37" t="e">
        <f>SUM(E29:E33)</f>
        <v>#REF!</v>
      </c>
      <c r="F28" s="33"/>
      <c r="G28" s="693" t="s">
        <v>122</v>
      </c>
      <c r="H28" s="693"/>
      <c r="I28" s="40" t="e">
        <f>SUM(#REF!)</f>
        <v>#REF!</v>
      </c>
      <c r="J28" s="40" t="e">
        <f>SUM(#REF!)</f>
        <v>#REF!</v>
      </c>
      <c r="K28" s="38"/>
    </row>
    <row r="29" spans="1:11" ht="12">
      <c r="A29" s="39"/>
      <c r="B29" s="693" t="s">
        <v>123</v>
      </c>
      <c r="C29" s="693"/>
      <c r="D29" s="40" t="e">
        <f>-SUM(#REF!)</f>
        <v>#REF!</v>
      </c>
      <c r="E29" s="40" t="e">
        <f>-SUM(#REF!)</f>
        <v>#REF!</v>
      </c>
      <c r="F29" s="33"/>
      <c r="G29" s="41"/>
      <c r="H29" s="42"/>
      <c r="I29" s="43"/>
      <c r="J29" s="43"/>
      <c r="K29" s="38"/>
    </row>
    <row r="30" spans="1:11" ht="12">
      <c r="A30" s="39"/>
      <c r="B30" s="693" t="s">
        <v>124</v>
      </c>
      <c r="C30" s="693"/>
      <c r="D30" s="40" t="e">
        <f>-SUM(#REF!)</f>
        <v>#REF!</v>
      </c>
      <c r="E30" s="40" t="e">
        <f>-SUM(#REF!)</f>
        <v>#REF!</v>
      </c>
      <c r="F30" s="33"/>
      <c r="G30" s="790" t="s">
        <v>116</v>
      </c>
      <c r="H30" s="790"/>
      <c r="I30" s="37" t="e">
        <f>SUM(I31:I33)</f>
        <v>#REF!</v>
      </c>
      <c r="J30" s="37" t="e">
        <f>SUM(J31:J33)</f>
        <v>#REF!</v>
      </c>
      <c r="K30" s="38"/>
    </row>
    <row r="31" spans="1:11" ht="26.25" customHeight="1">
      <c r="A31" s="39"/>
      <c r="B31" s="793" t="s">
        <v>125</v>
      </c>
      <c r="C31" s="793"/>
      <c r="D31" s="40" t="e">
        <f>-SUM(#REF!)</f>
        <v>#REF!</v>
      </c>
      <c r="E31" s="40" t="e">
        <f>-SUM(#REF!)</f>
        <v>#REF!</v>
      </c>
      <c r="F31" s="33"/>
      <c r="G31" s="693" t="s">
        <v>126</v>
      </c>
      <c r="H31" s="693"/>
      <c r="I31" s="40" t="e">
        <f>SUM(#REF!)</f>
        <v>#REF!</v>
      </c>
      <c r="J31" s="40" t="e">
        <f>SUM(#REF!)</f>
        <v>#REF!</v>
      </c>
      <c r="K31" s="38"/>
    </row>
    <row r="32" spans="1:11" ht="12">
      <c r="A32" s="39"/>
      <c r="B32" s="693" t="s">
        <v>127</v>
      </c>
      <c r="C32" s="693"/>
      <c r="D32" s="40" t="e">
        <f>-SUM(#REF!)</f>
        <v>#REF!</v>
      </c>
      <c r="E32" s="40" t="e">
        <f>-SUM(#REF!)</f>
        <v>#REF!</v>
      </c>
      <c r="F32" s="33"/>
      <c r="G32" s="693" t="s">
        <v>128</v>
      </c>
      <c r="H32" s="693"/>
      <c r="I32" s="40" t="e">
        <f>SUM(#REF!)</f>
        <v>#REF!</v>
      </c>
      <c r="J32" s="40" t="e">
        <f>SUM(#REF!)</f>
        <v>#REF!</v>
      </c>
      <c r="K32" s="38"/>
    </row>
    <row r="33" spans="1:11" ht="12">
      <c r="A33" s="39"/>
      <c r="B33" s="693" t="s">
        <v>129</v>
      </c>
      <c r="C33" s="693"/>
      <c r="D33" s="40" t="e">
        <f>-SUM(#REF!)</f>
        <v>#REF!</v>
      </c>
      <c r="E33" s="40" t="e">
        <f>-SUM(#REF!)</f>
        <v>#REF!</v>
      </c>
      <c r="F33" s="33"/>
      <c r="G33" s="693" t="s">
        <v>130</v>
      </c>
      <c r="H33" s="693"/>
      <c r="I33" s="40" t="e">
        <f>SUM(#REF!)</f>
        <v>#REF!</v>
      </c>
      <c r="J33" s="40" t="e">
        <f>SUM(#REF!)</f>
        <v>#REF!</v>
      </c>
      <c r="K33" s="38"/>
    </row>
    <row r="34" spans="1:11" ht="12">
      <c r="A34" s="36"/>
      <c r="B34" s="41"/>
      <c r="C34" s="44"/>
      <c r="D34" s="32"/>
      <c r="E34" s="32"/>
      <c r="F34" s="33"/>
      <c r="G34" s="41"/>
      <c r="H34" s="42"/>
      <c r="I34" s="43"/>
      <c r="J34" s="43"/>
      <c r="K34" s="38"/>
    </row>
    <row r="35" spans="1:11" ht="12">
      <c r="A35" s="45"/>
      <c r="B35" s="794" t="s">
        <v>131</v>
      </c>
      <c r="C35" s="794"/>
      <c r="D35" s="46" t="e">
        <f>D14+D24+D28</f>
        <v>#REF!</v>
      </c>
      <c r="E35" s="46" t="e">
        <f>E14+E24+E28</f>
        <v>#REF!</v>
      </c>
      <c r="F35" s="47"/>
      <c r="G35" s="789" t="s">
        <v>132</v>
      </c>
      <c r="H35" s="789"/>
      <c r="I35" s="48" t="e">
        <f>SUM(I36:I40)</f>
        <v>#REF!</v>
      </c>
      <c r="J35" s="48" t="e">
        <f>SUM(J36:J40)</f>
        <v>#REF!</v>
      </c>
      <c r="K35" s="38"/>
    </row>
    <row r="36" spans="1:11" ht="12">
      <c r="A36" s="36"/>
      <c r="B36" s="794"/>
      <c r="C36" s="794"/>
      <c r="D36" s="32"/>
      <c r="E36" s="32"/>
      <c r="F36" s="33"/>
      <c r="G36" s="693" t="s">
        <v>133</v>
      </c>
      <c r="H36" s="693"/>
      <c r="I36" s="40" t="e">
        <f>SUM(#REF!)</f>
        <v>#REF!</v>
      </c>
      <c r="J36" s="40" t="e">
        <f>SUM(#REF!)</f>
        <v>#REF!</v>
      </c>
      <c r="K36" s="38"/>
    </row>
    <row r="37" spans="1:11" ht="12">
      <c r="A37" s="49"/>
      <c r="B37" s="33"/>
      <c r="C37" s="33"/>
      <c r="D37" s="33"/>
      <c r="E37" s="33"/>
      <c r="F37" s="33"/>
      <c r="G37" s="693" t="s">
        <v>134</v>
      </c>
      <c r="H37" s="693"/>
      <c r="I37" s="40" t="e">
        <f>SUM(#REF!)</f>
        <v>#REF!</v>
      </c>
      <c r="J37" s="40" t="e">
        <f>SUM(#REF!)</f>
        <v>#REF!</v>
      </c>
      <c r="K37" s="38"/>
    </row>
    <row r="38" spans="1:11" ht="12">
      <c r="A38" s="49"/>
      <c r="B38" s="33"/>
      <c r="C38" s="33"/>
      <c r="D38" s="33"/>
      <c r="E38" s="33"/>
      <c r="F38" s="33"/>
      <c r="G38" s="693" t="s">
        <v>135</v>
      </c>
      <c r="H38" s="693"/>
      <c r="I38" s="40" t="e">
        <f>SUM(#REF!)</f>
        <v>#REF!</v>
      </c>
      <c r="J38" s="40" t="e">
        <f>SUM(#REF!)</f>
        <v>#REF!</v>
      </c>
      <c r="K38" s="38"/>
    </row>
    <row r="39" spans="1:11" ht="12">
      <c r="A39" s="49"/>
      <c r="B39" s="33"/>
      <c r="C39" s="33"/>
      <c r="D39" s="33"/>
      <c r="E39" s="33"/>
      <c r="F39" s="33"/>
      <c r="G39" s="693" t="s">
        <v>136</v>
      </c>
      <c r="H39" s="693"/>
      <c r="I39" s="40" t="e">
        <f>SUM(#REF!)</f>
        <v>#REF!</v>
      </c>
      <c r="J39" s="40" t="e">
        <f>SUM(#REF!)</f>
        <v>#REF!</v>
      </c>
      <c r="K39" s="38"/>
    </row>
    <row r="40" spans="1:11" ht="12">
      <c r="A40" s="49"/>
      <c r="B40" s="33"/>
      <c r="C40" s="33"/>
      <c r="D40" s="33"/>
      <c r="E40" s="33"/>
      <c r="F40" s="33"/>
      <c r="G40" s="693" t="s">
        <v>137</v>
      </c>
      <c r="H40" s="693"/>
      <c r="I40" s="40" t="e">
        <f>SUM(#REF!)</f>
        <v>#REF!</v>
      </c>
      <c r="J40" s="40" t="e">
        <f>SUM(#REF!)</f>
        <v>#REF!</v>
      </c>
      <c r="K40" s="38"/>
    </row>
    <row r="41" spans="1:11" ht="12">
      <c r="A41" s="49"/>
      <c r="B41" s="33"/>
      <c r="C41" s="33"/>
      <c r="D41" s="33"/>
      <c r="E41" s="33"/>
      <c r="F41" s="33"/>
      <c r="G41" s="41"/>
      <c r="H41" s="42"/>
      <c r="I41" s="43"/>
      <c r="J41" s="43"/>
      <c r="K41" s="38"/>
    </row>
    <row r="42" spans="1:11" ht="12">
      <c r="A42" s="49"/>
      <c r="B42" s="33"/>
      <c r="C42" s="33"/>
      <c r="D42" s="33"/>
      <c r="E42" s="33"/>
      <c r="F42" s="33"/>
      <c r="G42" s="790" t="s">
        <v>138</v>
      </c>
      <c r="H42" s="790"/>
      <c r="I42" s="48" t="e">
        <f>SUM(I43:I48)</f>
        <v>#REF!</v>
      </c>
      <c r="J42" s="48" t="e">
        <f>SUM(J43:J48)</f>
        <v>#REF!</v>
      </c>
      <c r="K42" s="38"/>
    </row>
    <row r="43" spans="1:11" ht="26.25" customHeight="1">
      <c r="A43" s="49"/>
      <c r="B43" s="33"/>
      <c r="C43" s="33"/>
      <c r="D43" s="33"/>
      <c r="E43" s="33"/>
      <c r="F43" s="33"/>
      <c r="G43" s="793" t="s">
        <v>139</v>
      </c>
      <c r="H43" s="793"/>
      <c r="I43" s="40" t="e">
        <f>SUM(#REF!)+SUM(#REF!)+SUM(#REF!)+SUM(#REF!)+SUM(#REF!)+SUM(#REF!)+SUM(#REF!)</f>
        <v>#REF!</v>
      </c>
      <c r="J43" s="40" t="e">
        <f>SUM(#REF!)+SUM(#REF!)+SUM(#REF!)+SUM(#REF!)+SUM(#REF!)+SUM(#REF!)+SUM(#REF!)</f>
        <v>#REF!</v>
      </c>
      <c r="K43" s="38"/>
    </row>
    <row r="44" spans="1:11" ht="12">
      <c r="A44" s="49"/>
      <c r="B44" s="33"/>
      <c r="C44" s="33"/>
      <c r="D44" s="33"/>
      <c r="E44" s="33"/>
      <c r="F44" s="33"/>
      <c r="G44" s="693" t="s">
        <v>140</v>
      </c>
      <c r="H44" s="693"/>
      <c r="I44" s="40" t="e">
        <f>SUM(#REF!)+SUM(#REF!)</f>
        <v>#REF!</v>
      </c>
      <c r="J44" s="40" t="e">
        <f>SUM(#REF!)+SUM(#REF!)</f>
        <v>#REF!</v>
      </c>
      <c r="K44" s="38"/>
    </row>
    <row r="45" spans="1:11" ht="12" customHeight="1">
      <c r="A45" s="49"/>
      <c r="B45" s="33"/>
      <c r="C45" s="33"/>
      <c r="D45" s="33"/>
      <c r="E45" s="33"/>
      <c r="F45" s="33"/>
      <c r="G45" s="693" t="s">
        <v>141</v>
      </c>
      <c r="H45" s="693"/>
      <c r="I45" s="40" t="e">
        <f>SUM(#REF!)</f>
        <v>#REF!</v>
      </c>
      <c r="J45" s="40" t="e">
        <f>SUM(#REF!)</f>
        <v>#REF!</v>
      </c>
      <c r="K45" s="38"/>
    </row>
    <row r="46" spans="1:11" ht="25.5" customHeight="1">
      <c r="A46" s="49"/>
      <c r="B46" s="33"/>
      <c r="C46" s="33"/>
      <c r="D46" s="33"/>
      <c r="E46" s="33"/>
      <c r="F46" s="33"/>
      <c r="G46" s="793" t="s">
        <v>142</v>
      </c>
      <c r="H46" s="793"/>
      <c r="I46" s="40" t="e">
        <f>SUM(#REF!)</f>
        <v>#REF!</v>
      </c>
      <c r="J46" s="40" t="e">
        <f>SUM(#REF!)</f>
        <v>#REF!</v>
      </c>
      <c r="K46" s="38"/>
    </row>
    <row r="47" spans="1:11" ht="12">
      <c r="A47" s="49"/>
      <c r="B47" s="33"/>
      <c r="C47" s="33"/>
      <c r="D47" s="33"/>
      <c r="E47" s="33"/>
      <c r="F47" s="33"/>
      <c r="G47" s="693" t="s">
        <v>143</v>
      </c>
      <c r="H47" s="693"/>
      <c r="I47" s="40" t="e">
        <f>SUM(#REF!)</f>
        <v>#REF!</v>
      </c>
      <c r="J47" s="40" t="e">
        <f>SUM(#REF!)</f>
        <v>#REF!</v>
      </c>
      <c r="K47" s="38"/>
    </row>
    <row r="48" spans="1:11" ht="12">
      <c r="A48" s="49"/>
      <c r="B48" s="33"/>
      <c r="C48" s="33"/>
      <c r="D48" s="33"/>
      <c r="E48" s="33"/>
      <c r="F48" s="33"/>
      <c r="G48" s="693" t="s">
        <v>144</v>
      </c>
      <c r="H48" s="693"/>
      <c r="I48" s="40" t="e">
        <f>SUM(#REF!)</f>
        <v>#REF!</v>
      </c>
      <c r="J48" s="40" t="e">
        <f>SUM(#REF!)</f>
        <v>#REF!</v>
      </c>
      <c r="K48" s="38"/>
    </row>
    <row r="49" spans="1:11" ht="12">
      <c r="A49" s="49"/>
      <c r="B49" s="33"/>
      <c r="C49" s="33"/>
      <c r="D49" s="33"/>
      <c r="E49" s="33"/>
      <c r="F49" s="33"/>
      <c r="G49" s="41"/>
      <c r="H49" s="42"/>
      <c r="I49" s="43"/>
      <c r="J49" s="43"/>
      <c r="K49" s="38"/>
    </row>
    <row r="50" spans="1:11" ht="12">
      <c r="A50" s="49"/>
      <c r="B50" s="33"/>
      <c r="C50" s="33"/>
      <c r="D50" s="33"/>
      <c r="E50" s="33"/>
      <c r="F50" s="33"/>
      <c r="G50" s="790" t="s">
        <v>145</v>
      </c>
      <c r="H50" s="790"/>
      <c r="I50" s="48" t="e">
        <f>SUM(I51)</f>
        <v>#REF!</v>
      </c>
      <c r="J50" s="48" t="e">
        <f>SUM(J51)</f>
        <v>#REF!</v>
      </c>
      <c r="K50" s="38"/>
    </row>
    <row r="51" spans="1:11" ht="12">
      <c r="A51" s="49"/>
      <c r="B51" s="33"/>
      <c r="C51" s="33"/>
      <c r="D51" s="33"/>
      <c r="E51" s="33"/>
      <c r="F51" s="33"/>
      <c r="G51" s="693" t="s">
        <v>146</v>
      </c>
      <c r="H51" s="693"/>
      <c r="I51" s="40" t="e">
        <f>SUM(#REF!)</f>
        <v>#REF!</v>
      </c>
      <c r="J51" s="40" t="e">
        <f>SUM(#REF!)</f>
        <v>#REF!</v>
      </c>
      <c r="K51" s="38"/>
    </row>
    <row r="52" spans="1:11" ht="12">
      <c r="A52" s="49"/>
      <c r="B52" s="33"/>
      <c r="C52" s="33"/>
      <c r="D52" s="33"/>
      <c r="E52" s="33"/>
      <c r="F52" s="33"/>
      <c r="G52" s="41"/>
      <c r="H52" s="42"/>
      <c r="I52" s="43"/>
      <c r="J52" s="43"/>
      <c r="K52" s="38"/>
    </row>
    <row r="53" spans="1:11" ht="12">
      <c r="A53" s="49"/>
      <c r="B53" s="33"/>
      <c r="C53" s="33"/>
      <c r="D53" s="33"/>
      <c r="E53" s="33"/>
      <c r="F53" s="33"/>
      <c r="G53" s="794" t="s">
        <v>147</v>
      </c>
      <c r="H53" s="794"/>
      <c r="I53" s="50" t="e">
        <f>I14+I19+I30+I35+I42+I50</f>
        <v>#REF!</v>
      </c>
      <c r="J53" s="50" t="e">
        <f>J14+J19+J30+J35+J42+J50</f>
        <v>#REF!</v>
      </c>
      <c r="K53" s="51"/>
    </row>
    <row r="54" spans="1:11" ht="12">
      <c r="A54" s="49"/>
      <c r="B54" s="33"/>
      <c r="C54" s="33"/>
      <c r="D54" s="33"/>
      <c r="E54" s="33"/>
      <c r="F54" s="33"/>
      <c r="G54" s="52"/>
      <c r="H54" s="52"/>
      <c r="I54" s="43"/>
      <c r="J54" s="43"/>
      <c r="K54" s="51"/>
    </row>
    <row r="55" spans="1:11" ht="12">
      <c r="A55" s="49"/>
      <c r="B55" s="33"/>
      <c r="C55" s="33"/>
      <c r="D55" s="33"/>
      <c r="E55" s="33"/>
      <c r="F55" s="33"/>
      <c r="G55" s="797" t="s">
        <v>148</v>
      </c>
      <c r="H55" s="797"/>
      <c r="I55" s="50" t="e">
        <f>D35-I53</f>
        <v>#REF!</v>
      </c>
      <c r="J55" s="50" t="e">
        <f>E35-J53</f>
        <v>#REF!</v>
      </c>
      <c r="K55" s="51"/>
    </row>
    <row r="56" spans="1:11" ht="6" customHeight="1">
      <c r="A56" s="53"/>
      <c r="B56" s="54"/>
      <c r="C56" s="54"/>
      <c r="D56" s="54"/>
      <c r="E56" s="54"/>
      <c r="F56" s="54"/>
      <c r="G56" s="55"/>
      <c r="H56" s="55"/>
      <c r="I56" s="54"/>
      <c r="J56" s="54"/>
      <c r="K56" s="56"/>
    </row>
    <row r="57" spans="1:11" ht="6" customHeight="1">
      <c r="A57" s="20"/>
      <c r="B57" s="20"/>
      <c r="C57" s="20"/>
      <c r="D57" s="20"/>
      <c r="E57" s="20"/>
      <c r="F57" s="20"/>
      <c r="G57" s="25"/>
      <c r="H57" s="25"/>
      <c r="I57" s="20"/>
      <c r="J57" s="20"/>
      <c r="K57" s="20"/>
    </row>
    <row r="58" spans="1:11" ht="6" customHeight="1">
      <c r="A58" s="54"/>
      <c r="B58" s="57"/>
      <c r="C58" s="58"/>
      <c r="D58" s="59"/>
      <c r="E58" s="59"/>
      <c r="F58" s="54"/>
      <c r="G58" s="60"/>
      <c r="H58" s="61"/>
      <c r="I58" s="59"/>
      <c r="J58" s="59"/>
      <c r="K58" s="54"/>
    </row>
    <row r="59" spans="1:11" ht="6" customHeight="1">
      <c r="A59" s="20"/>
      <c r="B59" s="42"/>
      <c r="C59" s="62"/>
      <c r="D59" s="63"/>
      <c r="E59" s="63"/>
      <c r="F59" s="20"/>
      <c r="G59" s="64"/>
      <c r="H59" s="65"/>
      <c r="I59" s="63"/>
      <c r="J59" s="63"/>
      <c r="K59" s="20"/>
    </row>
    <row r="60" spans="2:10" ht="15" customHeight="1">
      <c r="B60" s="798" t="s">
        <v>149</v>
      </c>
      <c r="C60" s="798"/>
      <c r="D60" s="798"/>
      <c r="E60" s="798"/>
      <c r="F60" s="798"/>
      <c r="G60" s="798"/>
      <c r="H60" s="798"/>
      <c r="I60" s="798"/>
      <c r="J60" s="798"/>
    </row>
    <row r="61" spans="2:10" ht="9.75" customHeight="1">
      <c r="B61" s="42"/>
      <c r="C61" s="62"/>
      <c r="D61" s="63"/>
      <c r="E61" s="63"/>
      <c r="G61" s="64"/>
      <c r="H61" s="62"/>
      <c r="I61" s="63"/>
      <c r="J61" s="63"/>
    </row>
    <row r="62" spans="2:10" ht="30" customHeight="1">
      <c r="B62" s="42"/>
      <c r="C62" s="799"/>
      <c r="D62" s="799"/>
      <c r="E62" s="63"/>
      <c r="G62" s="800"/>
      <c r="H62" s="800"/>
      <c r="I62" s="63"/>
      <c r="J62" s="63"/>
    </row>
    <row r="63" spans="2:10" ht="13.5" customHeight="1">
      <c r="B63" s="66"/>
      <c r="C63" s="795" t="str">
        <f>ENTE!D10</f>
        <v>ING. ENRIQUE DE ECHAVARRI LARY</v>
      </c>
      <c r="D63" s="795"/>
      <c r="E63" s="63"/>
      <c r="F63" s="63"/>
      <c r="G63" s="795" t="str">
        <f>ENTE!D14</f>
        <v>LIC. RICARDO SALVADOR BACA MUÑOZ</v>
      </c>
      <c r="H63" s="795"/>
      <c r="I63" s="67"/>
      <c r="J63" s="63"/>
    </row>
    <row r="64" spans="2:10" ht="13.5" customHeight="1">
      <c r="B64" s="68"/>
      <c r="C64" s="796" t="str">
        <f>ENTE!D12</f>
        <v>COORDINADOR GENERAL </v>
      </c>
      <c r="D64" s="796"/>
      <c r="E64" s="69"/>
      <c r="F64" s="69"/>
      <c r="G64" s="796" t="str">
        <f>ENTE!D16</f>
        <v>DIRECTOR DE ADMINISTRACION</v>
      </c>
      <c r="H64" s="796"/>
      <c r="I64" s="67"/>
      <c r="J64" s="63"/>
    </row>
    <row r="65" ht="9.75" customHeight="1">
      <c r="D65" s="70"/>
    </row>
    <row r="66" ht="12">
      <c r="D66" s="70"/>
    </row>
    <row r="67" ht="12">
      <c r="D67" s="70"/>
    </row>
  </sheetData>
  <sheetProtection selectLockedCells="1"/>
  <mergeCells count="73">
    <mergeCell ref="C63:D63"/>
    <mergeCell ref="G63:H63"/>
    <mergeCell ref="C64:D64"/>
    <mergeCell ref="G64:H64"/>
    <mergeCell ref="G51:H51"/>
    <mergeCell ref="G53:H53"/>
    <mergeCell ref="G55:H55"/>
    <mergeCell ref="B60:J60"/>
    <mergeCell ref="C62:D62"/>
    <mergeCell ref="G62:H62"/>
    <mergeCell ref="G50:H50"/>
    <mergeCell ref="G37:H37"/>
    <mergeCell ref="G38:H38"/>
    <mergeCell ref="G39:H39"/>
    <mergeCell ref="G40:H40"/>
    <mergeCell ref="G42:H42"/>
    <mergeCell ref="G43:H43"/>
    <mergeCell ref="G44:H44"/>
    <mergeCell ref="G45:H45"/>
    <mergeCell ref="G46:H46"/>
    <mergeCell ref="G47:H47"/>
    <mergeCell ref="G48:H48"/>
    <mergeCell ref="B33:C33"/>
    <mergeCell ref="G33:H33"/>
    <mergeCell ref="B35:C35"/>
    <mergeCell ref="G35:H35"/>
    <mergeCell ref="B36:C36"/>
    <mergeCell ref="G36:H36"/>
    <mergeCell ref="B30:C30"/>
    <mergeCell ref="G30:H30"/>
    <mergeCell ref="B31:C31"/>
    <mergeCell ref="G31:H31"/>
    <mergeCell ref="B32:C32"/>
    <mergeCell ref="G32:H32"/>
    <mergeCell ref="G16:H16"/>
    <mergeCell ref="B17:C17"/>
    <mergeCell ref="B29:C29"/>
    <mergeCell ref="B22:C22"/>
    <mergeCell ref="G22:H22"/>
    <mergeCell ref="G23:H23"/>
    <mergeCell ref="B24:C24"/>
    <mergeCell ref="G24:H24"/>
    <mergeCell ref="B25:C25"/>
    <mergeCell ref="G25:H25"/>
    <mergeCell ref="B20:C20"/>
    <mergeCell ref="G20:H20"/>
    <mergeCell ref="G27:H27"/>
    <mergeCell ref="B28:C28"/>
    <mergeCell ref="G28:H28"/>
    <mergeCell ref="B21:C21"/>
    <mergeCell ref="G21:H21"/>
    <mergeCell ref="B26:C26"/>
    <mergeCell ref="G26:H26"/>
    <mergeCell ref="B6:K6"/>
    <mergeCell ref="C8:K8"/>
    <mergeCell ref="B11:C11"/>
    <mergeCell ref="G17:H17"/>
    <mergeCell ref="B18:C18"/>
    <mergeCell ref="B19:C19"/>
    <mergeCell ref="G19:H19"/>
    <mergeCell ref="B15:C15"/>
    <mergeCell ref="G15:H15"/>
    <mergeCell ref="B16:C16"/>
    <mergeCell ref="G11:H11"/>
    <mergeCell ref="B13:C13"/>
    <mergeCell ref="G13:H13"/>
    <mergeCell ref="B14:C14"/>
    <mergeCell ref="G14:H14"/>
    <mergeCell ref="B1:K1"/>
    <mergeCell ref="B2:K2"/>
    <mergeCell ref="B3:K3"/>
    <mergeCell ref="B4:K4"/>
    <mergeCell ref="B5:K5"/>
  </mergeCells>
  <printOptions verticalCentered="1"/>
  <pageMargins left="0.7086614173228347" right="0.7086614173228347" top="0.7480314960629921" bottom="0.7480314960629921" header="0" footer="0"/>
  <pageSetup fitToHeight="1" fitToWidth="1" horizontalDpi="600" verticalDpi="600" orientation="landscape" scale="59" r:id="rId2"/>
  <headerFooter>
    <oddFooter>&amp;C&amp;A&amp;RPágina &amp;P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74"/>
  <sheetViews>
    <sheetView zoomScalePageLayoutView="80" workbookViewId="0" topLeftCell="A1">
      <selection activeCell="A10" sqref="A10:A11"/>
    </sheetView>
  </sheetViews>
  <sheetFormatPr defaultColWidth="11.421875" defaultRowHeight="15"/>
  <cols>
    <col min="1" max="1" width="4.8515625" style="20" customWidth="1"/>
    <col min="2" max="2" width="27.57421875" style="33" customWidth="1"/>
    <col min="3" max="3" width="37.8515625" style="20" customWidth="1"/>
    <col min="4" max="5" width="21.00390625" style="20" customWidth="1"/>
    <col min="6" max="6" width="11.00390625" style="81" customWidth="1"/>
    <col min="7" max="8" width="27.57421875" style="20" customWidth="1"/>
    <col min="9" max="10" width="21.00390625" style="20" customWidth="1"/>
    <col min="11" max="11" width="4.8515625" style="21" customWidth="1"/>
    <col min="12" max="12" width="1.7109375" style="72" customWidth="1"/>
    <col min="13" max="16384" width="11.421875" style="20" customWidth="1"/>
  </cols>
  <sheetData>
    <row r="1" spans="1:11" ht="12" customHeight="1">
      <c r="A1" s="21"/>
      <c r="B1" s="791" t="s">
        <v>0</v>
      </c>
      <c r="C1" s="791"/>
      <c r="D1" s="791"/>
      <c r="E1" s="791"/>
      <c r="F1" s="791"/>
      <c r="G1" s="791"/>
      <c r="H1" s="791"/>
      <c r="I1" s="791"/>
      <c r="J1" s="791"/>
      <c r="K1" s="791"/>
    </row>
    <row r="2" spans="2:12" ht="12" customHeight="1">
      <c r="B2" s="791" t="s">
        <v>2</v>
      </c>
      <c r="C2" s="791"/>
      <c r="D2" s="791"/>
      <c r="E2" s="791"/>
      <c r="F2" s="791"/>
      <c r="G2" s="791"/>
      <c r="H2" s="791"/>
      <c r="I2" s="791"/>
      <c r="J2" s="791"/>
      <c r="K2" s="791"/>
      <c r="L2" s="33"/>
    </row>
    <row r="3" spans="2:12" ht="12" customHeight="1">
      <c r="B3" s="791" t="s">
        <v>1</v>
      </c>
      <c r="C3" s="791"/>
      <c r="D3" s="791"/>
      <c r="E3" s="791"/>
      <c r="F3" s="791"/>
      <c r="G3" s="791"/>
      <c r="H3" s="791"/>
      <c r="I3" s="791"/>
      <c r="J3" s="791"/>
      <c r="K3" s="791"/>
      <c r="L3" s="33"/>
    </row>
    <row r="4" spans="2:11" ht="12" customHeight="1">
      <c r="B4" s="802" t="s">
        <v>151</v>
      </c>
      <c r="C4" s="802"/>
      <c r="D4" s="802"/>
      <c r="E4" s="802"/>
      <c r="F4" s="802"/>
      <c r="G4" s="802"/>
      <c r="H4" s="802"/>
      <c r="I4" s="802"/>
      <c r="J4" s="802"/>
      <c r="K4" s="802"/>
    </row>
    <row r="5" spans="2:11" ht="12" customHeight="1">
      <c r="B5" s="802" t="s">
        <v>211</v>
      </c>
      <c r="C5" s="802"/>
      <c r="D5" s="802"/>
      <c r="E5" s="802"/>
      <c r="F5" s="802"/>
      <c r="G5" s="802"/>
      <c r="H5" s="802"/>
      <c r="I5" s="802"/>
      <c r="J5" s="802"/>
      <c r="K5" s="802"/>
    </row>
    <row r="6" spans="2:11" ht="12" customHeight="1">
      <c r="B6" s="801" t="s">
        <v>92</v>
      </c>
      <c r="C6" s="801"/>
      <c r="D6" s="801"/>
      <c r="E6" s="801"/>
      <c r="F6" s="801"/>
      <c r="G6" s="801"/>
      <c r="H6" s="801"/>
      <c r="I6" s="801"/>
      <c r="J6" s="801"/>
      <c r="K6" s="801"/>
    </row>
    <row r="7" spans="1:11" ht="12" customHeight="1">
      <c r="A7" s="73"/>
      <c r="B7" s="24" t="s">
        <v>4</v>
      </c>
      <c r="C7" s="792" t="str">
        <f>ENTE!D8</f>
        <v>UNIDAD DE SERVICIOS PARA LA EDUCACION BASICA EN EL ESTADO DE QUERETARO</v>
      </c>
      <c r="D7" s="792"/>
      <c r="E7" s="792"/>
      <c r="F7" s="792"/>
      <c r="G7" s="792"/>
      <c r="H7" s="792"/>
      <c r="I7" s="792"/>
      <c r="J7" s="792"/>
      <c r="K7" s="792"/>
    </row>
    <row r="8" spans="1:12" ht="3" customHeight="1">
      <c r="A8" s="74"/>
      <c r="B8" s="74"/>
      <c r="C8" s="74"/>
      <c r="D8" s="74"/>
      <c r="E8" s="74"/>
      <c r="F8" s="75"/>
      <c r="G8" s="74"/>
      <c r="H8" s="74"/>
      <c r="I8" s="74"/>
      <c r="J8" s="74"/>
      <c r="K8" s="20"/>
      <c r="L8" s="33"/>
    </row>
    <row r="9" spans="1:10" ht="3" customHeight="1">
      <c r="A9" s="74"/>
      <c r="B9" s="74"/>
      <c r="C9" s="74"/>
      <c r="D9" s="74"/>
      <c r="E9" s="74"/>
      <c r="F9" s="75"/>
      <c r="G9" s="74"/>
      <c r="H9" s="74"/>
      <c r="I9" s="74"/>
      <c r="J9" s="74"/>
    </row>
    <row r="10" spans="1:12" s="77" customFormat="1" ht="15" customHeight="1">
      <c r="A10" s="803"/>
      <c r="B10" s="805" t="s">
        <v>152</v>
      </c>
      <c r="C10" s="805"/>
      <c r="D10" s="174" t="s">
        <v>153</v>
      </c>
      <c r="E10" s="174"/>
      <c r="F10" s="807"/>
      <c r="G10" s="805" t="s">
        <v>152</v>
      </c>
      <c r="H10" s="805"/>
      <c r="I10" s="174" t="s">
        <v>153</v>
      </c>
      <c r="J10" s="174"/>
      <c r="K10" s="175"/>
      <c r="L10" s="76"/>
    </row>
    <row r="11" spans="1:12" s="77" customFormat="1" ht="15" customHeight="1">
      <c r="A11" s="804"/>
      <c r="B11" s="806"/>
      <c r="C11" s="806"/>
      <c r="D11" s="176">
        <v>2015</v>
      </c>
      <c r="E11" s="176">
        <v>2016</v>
      </c>
      <c r="F11" s="808"/>
      <c r="G11" s="806"/>
      <c r="H11" s="806"/>
      <c r="I11" s="176">
        <v>2015</v>
      </c>
      <c r="J11" s="176">
        <v>2016</v>
      </c>
      <c r="K11" s="177"/>
      <c r="L11" s="76"/>
    </row>
    <row r="12" spans="1:12" ht="3" customHeight="1">
      <c r="A12" s="78"/>
      <c r="B12" s="74"/>
      <c r="C12" s="74"/>
      <c r="D12" s="74"/>
      <c r="E12" s="74"/>
      <c r="F12" s="75"/>
      <c r="G12" s="74"/>
      <c r="H12" s="74"/>
      <c r="I12" s="74"/>
      <c r="J12" s="74"/>
      <c r="K12" s="30"/>
      <c r="L12" s="33"/>
    </row>
    <row r="13" spans="1:11" ht="3" customHeight="1">
      <c r="A13" s="78"/>
      <c r="B13" s="74"/>
      <c r="C13" s="74"/>
      <c r="D13" s="74"/>
      <c r="E13" s="74"/>
      <c r="F13" s="75"/>
      <c r="G13" s="74"/>
      <c r="H13" s="74"/>
      <c r="I13" s="74"/>
      <c r="J13" s="74"/>
      <c r="K13" s="30"/>
    </row>
    <row r="14" spans="1:11" ht="12">
      <c r="A14" s="79"/>
      <c r="B14" s="790" t="s">
        <v>154</v>
      </c>
      <c r="C14" s="790"/>
      <c r="D14" s="80"/>
      <c r="E14" s="42"/>
      <c r="G14" s="790" t="s">
        <v>155</v>
      </c>
      <c r="H14" s="790"/>
      <c r="I14" s="67"/>
      <c r="J14" s="67"/>
      <c r="K14" s="30"/>
    </row>
    <row r="15" spans="1:11" ht="4.5" customHeight="1">
      <c r="A15" s="79"/>
      <c r="B15" s="41"/>
      <c r="C15" s="67"/>
      <c r="D15" s="32"/>
      <c r="E15" s="32"/>
      <c r="G15" s="41"/>
      <c r="H15" s="67"/>
      <c r="I15" s="37"/>
      <c r="J15" s="37"/>
      <c r="K15" s="30"/>
    </row>
    <row r="16" spans="1:11" ht="12">
      <c r="A16" s="79"/>
      <c r="B16" s="794" t="s">
        <v>156</v>
      </c>
      <c r="C16" s="794"/>
      <c r="D16" s="32"/>
      <c r="E16" s="32"/>
      <c r="G16" s="794" t="s">
        <v>157</v>
      </c>
      <c r="H16" s="794"/>
      <c r="I16" s="32"/>
      <c r="J16" s="32"/>
      <c r="K16" s="30"/>
    </row>
    <row r="17" spans="1:11" s="72" customFormat="1" ht="4.5" customHeight="1">
      <c r="A17" s="79"/>
      <c r="B17" s="52"/>
      <c r="C17" s="44"/>
      <c r="D17" s="32"/>
      <c r="E17" s="32"/>
      <c r="F17" s="81"/>
      <c r="G17" s="52"/>
      <c r="H17" s="44"/>
      <c r="I17" s="32"/>
      <c r="J17" s="32"/>
      <c r="K17" s="30"/>
    </row>
    <row r="18" spans="1:11" s="72" customFormat="1" ht="12">
      <c r="A18" s="79"/>
      <c r="B18" s="693" t="s">
        <v>158</v>
      </c>
      <c r="C18" s="693"/>
      <c r="D18" s="32" t="e">
        <f>SUM(#REF!)</f>
        <v>#REF!</v>
      </c>
      <c r="E18" s="32" t="e">
        <f>SUM(#REF!)</f>
        <v>#REF!</v>
      </c>
      <c r="F18" s="81"/>
      <c r="G18" s="693" t="s">
        <v>159</v>
      </c>
      <c r="H18" s="693"/>
      <c r="I18" s="32" t="e">
        <f>-SUM(#REF!)</f>
        <v>#REF!</v>
      </c>
      <c r="J18" s="32" t="e">
        <f>-SUM(#REF!)</f>
        <v>#REF!</v>
      </c>
      <c r="K18" s="30"/>
    </row>
    <row r="19" spans="1:11" s="72" customFormat="1" ht="12">
      <c r="A19" s="79"/>
      <c r="B19" s="693" t="s">
        <v>160</v>
      </c>
      <c r="C19" s="693"/>
      <c r="D19" s="32" t="e">
        <f>SUM(#REF!)</f>
        <v>#REF!</v>
      </c>
      <c r="E19" s="32" t="e">
        <f>SUM(#REF!)</f>
        <v>#REF!</v>
      </c>
      <c r="F19" s="81"/>
      <c r="G19" s="693" t="s">
        <v>161</v>
      </c>
      <c r="H19" s="693"/>
      <c r="I19" s="32" t="e">
        <f>-SUM(#REF!)</f>
        <v>#REF!</v>
      </c>
      <c r="J19" s="32" t="e">
        <f>-SUM(#REF!)</f>
        <v>#REF!</v>
      </c>
      <c r="K19" s="30"/>
    </row>
    <row r="20" spans="1:11" s="72" customFormat="1" ht="12">
      <c r="A20" s="79"/>
      <c r="B20" s="693" t="s">
        <v>162</v>
      </c>
      <c r="C20" s="693"/>
      <c r="D20" s="32" t="e">
        <f>SUM(#REF!)</f>
        <v>#REF!</v>
      </c>
      <c r="E20" s="32" t="e">
        <f>SUM(#REF!)</f>
        <v>#REF!</v>
      </c>
      <c r="F20" s="81"/>
      <c r="G20" s="693" t="s">
        <v>163</v>
      </c>
      <c r="H20" s="693"/>
      <c r="I20" s="32" t="e">
        <f>-SUM(#REF!)</f>
        <v>#REF!</v>
      </c>
      <c r="J20" s="32" t="e">
        <f>-SUM(#REF!)</f>
        <v>#REF!</v>
      </c>
      <c r="K20" s="30"/>
    </row>
    <row r="21" spans="1:11" s="72" customFormat="1" ht="12">
      <c r="A21" s="79"/>
      <c r="B21" s="693" t="s">
        <v>164</v>
      </c>
      <c r="C21" s="693"/>
      <c r="D21" s="32" t="e">
        <f>SUM(#REF!)</f>
        <v>#REF!</v>
      </c>
      <c r="E21" s="32" t="e">
        <f>SUM(#REF!)</f>
        <v>#REF!</v>
      </c>
      <c r="F21" s="81"/>
      <c r="G21" s="693" t="s">
        <v>165</v>
      </c>
      <c r="H21" s="693"/>
      <c r="I21" s="32" t="e">
        <f>-SUM(#REF!)</f>
        <v>#REF!</v>
      </c>
      <c r="J21" s="32" t="e">
        <f>-SUM(#REF!)</f>
        <v>#REF!</v>
      </c>
      <c r="K21" s="30"/>
    </row>
    <row r="22" spans="1:11" s="72" customFormat="1" ht="12">
      <c r="A22" s="79"/>
      <c r="B22" s="693" t="s">
        <v>166</v>
      </c>
      <c r="C22" s="693"/>
      <c r="D22" s="32" t="e">
        <f>SUM(#REF!)</f>
        <v>#REF!</v>
      </c>
      <c r="E22" s="32" t="e">
        <f>SUM(#REF!)</f>
        <v>#REF!</v>
      </c>
      <c r="F22" s="81"/>
      <c r="G22" s="693" t="s">
        <v>167</v>
      </c>
      <c r="H22" s="693"/>
      <c r="I22" s="32" t="e">
        <f>-SUM(#REF!)</f>
        <v>#REF!</v>
      </c>
      <c r="J22" s="32" t="e">
        <f>-SUM(#REF!)</f>
        <v>#REF!</v>
      </c>
      <c r="K22" s="30"/>
    </row>
    <row r="23" spans="1:11" s="72" customFormat="1" ht="25.5" customHeight="1">
      <c r="A23" s="79"/>
      <c r="B23" s="693" t="s">
        <v>168</v>
      </c>
      <c r="C23" s="693"/>
      <c r="D23" s="32" t="e">
        <f>SUM(#REF!)</f>
        <v>#REF!</v>
      </c>
      <c r="E23" s="32" t="e">
        <f>SUM(#REF!)</f>
        <v>#REF!</v>
      </c>
      <c r="F23" s="81"/>
      <c r="G23" s="793" t="s">
        <v>169</v>
      </c>
      <c r="H23" s="793"/>
      <c r="I23" s="32" t="e">
        <f>-SUM(#REF!)</f>
        <v>#REF!</v>
      </c>
      <c r="J23" s="32" t="e">
        <f>-SUM(#REF!)</f>
        <v>#REF!</v>
      </c>
      <c r="K23" s="30"/>
    </row>
    <row r="24" spans="1:11" s="72" customFormat="1" ht="12">
      <c r="A24" s="79"/>
      <c r="B24" s="693" t="s">
        <v>170</v>
      </c>
      <c r="C24" s="693"/>
      <c r="D24" s="32" t="e">
        <f>SUM(#REF!)</f>
        <v>#REF!</v>
      </c>
      <c r="E24" s="32" t="e">
        <f>SUM(#REF!)</f>
        <v>#REF!</v>
      </c>
      <c r="F24" s="81"/>
      <c r="G24" s="693" t="s">
        <v>171</v>
      </c>
      <c r="H24" s="693"/>
      <c r="I24" s="32" t="e">
        <f>-SUM(#REF!)</f>
        <v>#REF!</v>
      </c>
      <c r="J24" s="32" t="e">
        <f>-SUM(#REF!)</f>
        <v>#REF!</v>
      </c>
      <c r="K24" s="30"/>
    </row>
    <row r="25" spans="1:11" s="72" customFormat="1" ht="12">
      <c r="A25" s="79"/>
      <c r="B25" s="70"/>
      <c r="C25" s="82"/>
      <c r="D25" s="40"/>
      <c r="E25" s="40"/>
      <c r="F25" s="81"/>
      <c r="G25" s="693" t="s">
        <v>172</v>
      </c>
      <c r="H25" s="693"/>
      <c r="I25" s="32" t="e">
        <f>-SUM(#REF!)</f>
        <v>#REF!</v>
      </c>
      <c r="J25" s="32" t="e">
        <f>-SUM(#REF!)</f>
        <v>#REF!</v>
      </c>
      <c r="K25" s="30"/>
    </row>
    <row r="26" spans="1:11" s="72" customFormat="1" ht="12">
      <c r="A26" s="83"/>
      <c r="B26" s="794" t="s">
        <v>173</v>
      </c>
      <c r="C26" s="794"/>
      <c r="D26" s="37" t="e">
        <f>SUM(D18:D24)</f>
        <v>#REF!</v>
      </c>
      <c r="E26" s="37" t="e">
        <f>SUM(E18:E24)</f>
        <v>#REF!</v>
      </c>
      <c r="F26" s="84"/>
      <c r="G26" s="41"/>
      <c r="H26" s="67"/>
      <c r="I26" s="48"/>
      <c r="J26" s="48"/>
      <c r="K26" s="30"/>
    </row>
    <row r="27" spans="1:11" s="72" customFormat="1" ht="12">
      <c r="A27" s="83"/>
      <c r="B27" s="41"/>
      <c r="C27" s="85"/>
      <c r="D27" s="48"/>
      <c r="E27" s="48"/>
      <c r="F27" s="84"/>
      <c r="G27" s="794" t="s">
        <v>174</v>
      </c>
      <c r="H27" s="794"/>
      <c r="I27" s="37" t="e">
        <f>SUM(I18:I25)</f>
        <v>#REF!</v>
      </c>
      <c r="J27" s="37" t="e">
        <f>SUM(J18:J25)</f>
        <v>#REF!</v>
      </c>
      <c r="K27" s="30"/>
    </row>
    <row r="28" spans="1:11" s="72" customFormat="1" ht="12">
      <c r="A28" s="79"/>
      <c r="B28" s="70"/>
      <c r="C28" s="70"/>
      <c r="D28" s="40"/>
      <c r="E28" s="40"/>
      <c r="F28" s="81"/>
      <c r="G28" s="86"/>
      <c r="H28" s="82"/>
      <c r="I28" s="40"/>
      <c r="J28" s="40"/>
      <c r="K28" s="30"/>
    </row>
    <row r="29" spans="1:11" s="72" customFormat="1" ht="12">
      <c r="A29" s="79"/>
      <c r="B29" s="794" t="s">
        <v>175</v>
      </c>
      <c r="C29" s="794"/>
      <c r="D29" s="32"/>
      <c r="E29" s="32"/>
      <c r="F29" s="81"/>
      <c r="G29" s="794" t="s">
        <v>176</v>
      </c>
      <c r="H29" s="794"/>
      <c r="I29" s="32"/>
      <c r="J29" s="32"/>
      <c r="K29" s="30"/>
    </row>
    <row r="30" spans="1:11" s="72" customFormat="1" ht="12">
      <c r="A30" s="79"/>
      <c r="B30" s="70"/>
      <c r="C30" s="70"/>
      <c r="D30" s="40"/>
      <c r="E30" s="40"/>
      <c r="F30" s="81"/>
      <c r="G30" s="70"/>
      <c r="H30" s="82"/>
      <c r="I30" s="40"/>
      <c r="J30" s="40"/>
      <c r="K30" s="30"/>
    </row>
    <row r="31" spans="1:11" s="72" customFormat="1" ht="12">
      <c r="A31" s="79"/>
      <c r="B31" s="693" t="s">
        <v>177</v>
      </c>
      <c r="C31" s="693"/>
      <c r="D31" s="32" t="e">
        <f>SUM(#REF!)</f>
        <v>#REF!</v>
      </c>
      <c r="E31" s="32" t="e">
        <f>SUM(#REF!)</f>
        <v>#REF!</v>
      </c>
      <c r="F31" s="81"/>
      <c r="G31" s="693" t="s">
        <v>178</v>
      </c>
      <c r="H31" s="693"/>
      <c r="I31" s="32" t="e">
        <f>-SUM(#REF!)</f>
        <v>#REF!</v>
      </c>
      <c r="J31" s="32" t="e">
        <f>-SUM(#REF!)</f>
        <v>#REF!</v>
      </c>
      <c r="K31" s="30"/>
    </row>
    <row r="32" spans="1:11" s="72" customFormat="1" ht="12">
      <c r="A32" s="79"/>
      <c r="B32" s="693" t="s">
        <v>179</v>
      </c>
      <c r="C32" s="693"/>
      <c r="D32" s="32" t="e">
        <f>SUM(#REF!)</f>
        <v>#REF!</v>
      </c>
      <c r="E32" s="32" t="e">
        <f>SUM(#REF!)</f>
        <v>#REF!</v>
      </c>
      <c r="F32" s="81"/>
      <c r="G32" s="693" t="s">
        <v>180</v>
      </c>
      <c r="H32" s="693"/>
      <c r="I32" s="32" t="e">
        <f>-SUM(#REF!)</f>
        <v>#REF!</v>
      </c>
      <c r="J32" s="32" t="e">
        <f>-SUM(#REF!)</f>
        <v>#REF!</v>
      </c>
      <c r="K32" s="30"/>
    </row>
    <row r="33" spans="1:11" s="72" customFormat="1" ht="12">
      <c r="A33" s="79"/>
      <c r="B33" s="693" t="s">
        <v>181</v>
      </c>
      <c r="C33" s="693"/>
      <c r="D33" s="32" t="e">
        <f>SUM(#REF!)</f>
        <v>#REF!</v>
      </c>
      <c r="E33" s="32" t="e">
        <f>SUM(#REF!)</f>
        <v>#REF!</v>
      </c>
      <c r="F33" s="81"/>
      <c r="G33" s="693" t="s">
        <v>182</v>
      </c>
      <c r="H33" s="693"/>
      <c r="I33" s="32" t="e">
        <f>-SUM(#REF!)</f>
        <v>#REF!</v>
      </c>
      <c r="J33" s="32" t="e">
        <f>-SUM(#REF!)</f>
        <v>#REF!</v>
      </c>
      <c r="K33" s="30"/>
    </row>
    <row r="34" spans="1:11" s="72" customFormat="1" ht="12">
      <c r="A34" s="79"/>
      <c r="B34" s="693" t="s">
        <v>183</v>
      </c>
      <c r="C34" s="693"/>
      <c r="D34" s="32" t="e">
        <f>SUM(#REF!)</f>
        <v>#REF!</v>
      </c>
      <c r="E34" s="32" t="e">
        <f>SUM(#REF!)</f>
        <v>#REF!</v>
      </c>
      <c r="F34" s="81"/>
      <c r="G34" s="693" t="s">
        <v>184</v>
      </c>
      <c r="H34" s="693"/>
      <c r="I34" s="32" t="e">
        <f>-SUM(#REF!)</f>
        <v>#REF!</v>
      </c>
      <c r="J34" s="32" t="e">
        <f>-SUM(#REF!)</f>
        <v>#REF!</v>
      </c>
      <c r="K34" s="30"/>
    </row>
    <row r="35" spans="1:11" s="72" customFormat="1" ht="26.25" customHeight="1">
      <c r="A35" s="79"/>
      <c r="B35" s="693" t="s">
        <v>185</v>
      </c>
      <c r="C35" s="693"/>
      <c r="D35" s="32" t="e">
        <f>SUM(#REF!)</f>
        <v>#REF!</v>
      </c>
      <c r="E35" s="32" t="e">
        <f>SUM(#REF!)</f>
        <v>#REF!</v>
      </c>
      <c r="F35" s="81"/>
      <c r="G35" s="793" t="s">
        <v>186</v>
      </c>
      <c r="H35" s="793"/>
      <c r="I35" s="32" t="e">
        <f>-SUM(#REF!)</f>
        <v>#REF!</v>
      </c>
      <c r="J35" s="32" t="e">
        <f>-SUM(#REF!)</f>
        <v>#REF!</v>
      </c>
      <c r="K35" s="30"/>
    </row>
    <row r="36" spans="1:11" s="72" customFormat="1" ht="12">
      <c r="A36" s="79"/>
      <c r="B36" s="693" t="s">
        <v>187</v>
      </c>
      <c r="C36" s="693"/>
      <c r="D36" s="32" t="e">
        <f>SUM(#REF!)</f>
        <v>#REF!</v>
      </c>
      <c r="E36" s="32" t="e">
        <f>SUM(#REF!)</f>
        <v>#REF!</v>
      </c>
      <c r="F36" s="81"/>
      <c r="G36" s="693" t="s">
        <v>188</v>
      </c>
      <c r="H36" s="693"/>
      <c r="I36" s="32" t="e">
        <f>-SUM(#REF!)</f>
        <v>#REF!</v>
      </c>
      <c r="J36" s="32" t="e">
        <f>-SUM(#REF!)</f>
        <v>#REF!</v>
      </c>
      <c r="K36" s="30"/>
    </row>
    <row r="37" spans="1:11" s="72" customFormat="1" ht="12">
      <c r="A37" s="79"/>
      <c r="B37" s="693" t="s">
        <v>189</v>
      </c>
      <c r="C37" s="693"/>
      <c r="D37" s="32" t="e">
        <f>SUM(#REF!)</f>
        <v>#REF!</v>
      </c>
      <c r="E37" s="32" t="e">
        <f>SUM(#REF!)</f>
        <v>#REF!</v>
      </c>
      <c r="F37" s="81"/>
      <c r="G37" s="70"/>
      <c r="H37" s="82"/>
      <c r="I37" s="40"/>
      <c r="J37" s="40"/>
      <c r="K37" s="30"/>
    </row>
    <row r="38" spans="1:11" s="72" customFormat="1" ht="12">
      <c r="A38" s="79"/>
      <c r="B38" s="693" t="s">
        <v>190</v>
      </c>
      <c r="C38" s="693"/>
      <c r="D38" s="32" t="e">
        <f>SUM(#REF!)</f>
        <v>#REF!</v>
      </c>
      <c r="E38" s="32" t="e">
        <f>SUM(#REF!)</f>
        <v>#REF!</v>
      </c>
      <c r="F38" s="81"/>
      <c r="G38" s="794" t="s">
        <v>191</v>
      </c>
      <c r="H38" s="794"/>
      <c r="I38" s="37" t="e">
        <f>SUM(I31:I36)</f>
        <v>#REF!</v>
      </c>
      <c r="J38" s="37" t="e">
        <f>SUM(J31:J36)</f>
        <v>#REF!</v>
      </c>
      <c r="K38" s="30"/>
    </row>
    <row r="39" spans="1:11" s="72" customFormat="1" ht="12">
      <c r="A39" s="79"/>
      <c r="B39" s="693" t="s">
        <v>192</v>
      </c>
      <c r="C39" s="693"/>
      <c r="D39" s="32" t="e">
        <f>SUM(#REF!)</f>
        <v>#REF!</v>
      </c>
      <c r="E39" s="32" t="e">
        <f>SUM(#REF!)</f>
        <v>#REF!</v>
      </c>
      <c r="F39" s="81"/>
      <c r="G39" s="41"/>
      <c r="H39" s="85"/>
      <c r="I39" s="48"/>
      <c r="J39" s="48"/>
      <c r="K39" s="30"/>
    </row>
    <row r="40" spans="1:11" s="72" customFormat="1" ht="12">
      <c r="A40" s="79"/>
      <c r="B40" s="70"/>
      <c r="C40" s="82"/>
      <c r="D40" s="40"/>
      <c r="E40" s="40"/>
      <c r="F40" s="81"/>
      <c r="G40" s="794" t="s">
        <v>193</v>
      </c>
      <c r="H40" s="794"/>
      <c r="I40" s="37" t="e">
        <f>I27+I38</f>
        <v>#REF!</v>
      </c>
      <c r="J40" s="37" t="e">
        <f>J27+J38</f>
        <v>#REF!</v>
      </c>
      <c r="K40" s="30"/>
    </row>
    <row r="41" spans="1:11" s="72" customFormat="1" ht="12">
      <c r="A41" s="83"/>
      <c r="B41" s="794" t="s">
        <v>194</v>
      </c>
      <c r="C41" s="794"/>
      <c r="D41" s="37" t="e">
        <f>SUM(D31:D39)</f>
        <v>#REF!</v>
      </c>
      <c r="E41" s="37" t="e">
        <f>SUM(E31:E39)</f>
        <v>#REF!</v>
      </c>
      <c r="F41" s="84"/>
      <c r="G41" s="41"/>
      <c r="H41" s="87"/>
      <c r="I41" s="48"/>
      <c r="J41" s="48"/>
      <c r="K41" s="30"/>
    </row>
    <row r="42" spans="1:11" s="72" customFormat="1" ht="12">
      <c r="A42" s="79"/>
      <c r="B42" s="70"/>
      <c r="C42" s="41"/>
      <c r="D42" s="40"/>
      <c r="E42" s="40"/>
      <c r="F42" s="81"/>
      <c r="G42" s="790" t="s">
        <v>195</v>
      </c>
      <c r="H42" s="790"/>
      <c r="I42" s="40"/>
      <c r="J42" s="40"/>
      <c r="K42" s="30"/>
    </row>
    <row r="43" spans="1:11" s="72" customFormat="1" ht="12">
      <c r="A43" s="79"/>
      <c r="B43" s="794" t="s">
        <v>196</v>
      </c>
      <c r="C43" s="794"/>
      <c r="D43" s="37" t="e">
        <f>D26+D41</f>
        <v>#REF!</v>
      </c>
      <c r="E43" s="37" t="e">
        <f>E26+E41</f>
        <v>#REF!</v>
      </c>
      <c r="F43" s="81"/>
      <c r="G43" s="41"/>
      <c r="H43" s="87"/>
      <c r="I43" s="40"/>
      <c r="J43" s="40"/>
      <c r="K43" s="30"/>
    </row>
    <row r="44" spans="1:11" s="72" customFormat="1" ht="12">
      <c r="A44" s="79"/>
      <c r="B44" s="70"/>
      <c r="C44" s="70"/>
      <c r="D44" s="40"/>
      <c r="E44" s="40"/>
      <c r="F44" s="81"/>
      <c r="G44" s="794" t="s">
        <v>197</v>
      </c>
      <c r="H44" s="794"/>
      <c r="I44" s="37" t="e">
        <f>SUM(I46:I48)</f>
        <v>#REF!</v>
      </c>
      <c r="J44" s="37" t="e">
        <f>SUM(J46:J48)</f>
        <v>#REF!</v>
      </c>
      <c r="K44" s="30"/>
    </row>
    <row r="45" spans="1:11" s="72" customFormat="1" ht="12">
      <c r="A45" s="79"/>
      <c r="B45" s="70"/>
      <c r="C45" s="70"/>
      <c r="D45" s="40"/>
      <c r="E45" s="40"/>
      <c r="F45" s="81"/>
      <c r="G45" s="70"/>
      <c r="H45" s="42"/>
      <c r="I45" s="40"/>
      <c r="J45" s="40"/>
      <c r="K45" s="30"/>
    </row>
    <row r="46" spans="1:11" s="72" customFormat="1" ht="12">
      <c r="A46" s="79"/>
      <c r="B46" s="70"/>
      <c r="C46" s="70"/>
      <c r="D46" s="40"/>
      <c r="E46" s="40"/>
      <c r="F46" s="81"/>
      <c r="G46" s="693" t="s">
        <v>128</v>
      </c>
      <c r="H46" s="693"/>
      <c r="I46" s="32" t="e">
        <f>-SUM(#REF!)</f>
        <v>#REF!</v>
      </c>
      <c r="J46" s="32" t="e">
        <f>-SUM(#REF!)</f>
        <v>#REF!</v>
      </c>
      <c r="K46" s="30"/>
    </row>
    <row r="47" spans="1:11" s="72" customFormat="1" ht="12" customHeight="1">
      <c r="A47" s="79"/>
      <c r="B47" s="11" t="e">
        <f>IF(E43=J65," ","ERROR EN SUMA DE ACTIVOS - PASIVO Y PATRIMONIO DEL 2016 POR "&amp;E43-J65)</f>
        <v>#REF!</v>
      </c>
      <c r="C47" s="20"/>
      <c r="D47" s="88"/>
      <c r="E47" s="40"/>
      <c r="F47" s="81"/>
      <c r="G47" s="693" t="s">
        <v>198</v>
      </c>
      <c r="H47" s="693"/>
      <c r="I47" s="32" t="e">
        <f>-SUM(#REF!)</f>
        <v>#REF!</v>
      </c>
      <c r="J47" s="32" t="e">
        <f>-SUM(#REF!)</f>
        <v>#REF!</v>
      </c>
      <c r="K47" s="30"/>
    </row>
    <row r="48" spans="1:11" s="72" customFormat="1" ht="12" customHeight="1">
      <c r="A48" s="79"/>
      <c r="B48" s="11" t="e">
        <f>IF(D43=I65," ","ERROR EN SUMA DE ACTIVOS - PASIVO Y PATRIMONIO DEL 2015 POR "&amp;D43-I65)</f>
        <v>#REF!</v>
      </c>
      <c r="C48" s="20"/>
      <c r="D48" s="88"/>
      <c r="E48" s="40"/>
      <c r="F48" s="81"/>
      <c r="G48" s="693" t="s">
        <v>199</v>
      </c>
      <c r="H48" s="693"/>
      <c r="I48" s="32" t="e">
        <f>-SUM(#REF!)</f>
        <v>#REF!</v>
      </c>
      <c r="J48" s="32" t="e">
        <f>-SUM(#REF!)</f>
        <v>#REF!</v>
      </c>
      <c r="K48" s="30"/>
    </row>
    <row r="49" spans="1:11" ht="12" customHeight="1">
      <c r="A49" s="79"/>
      <c r="B49" s="70"/>
      <c r="C49" s="88"/>
      <c r="D49" s="88"/>
      <c r="E49" s="40"/>
      <c r="G49" s="70"/>
      <c r="H49" s="42"/>
      <c r="I49" s="40"/>
      <c r="J49" s="40"/>
      <c r="K49" s="30"/>
    </row>
    <row r="50" spans="1:11" ht="12.75" customHeight="1">
      <c r="A50" s="79"/>
      <c r="B50" s="70"/>
      <c r="C50" s="88"/>
      <c r="D50" s="88"/>
      <c r="E50" s="40"/>
      <c r="G50" s="794" t="s">
        <v>200</v>
      </c>
      <c r="H50" s="794"/>
      <c r="I50" s="37" t="e">
        <f>SUM(I52:I56)</f>
        <v>#REF!</v>
      </c>
      <c r="J50" s="37" t="e">
        <f>SUM(J52:J56)</f>
        <v>#REF!</v>
      </c>
      <c r="K50" s="30"/>
    </row>
    <row r="51" spans="1:11" ht="12.75" customHeight="1">
      <c r="A51" s="79"/>
      <c r="B51" s="70"/>
      <c r="C51" s="88"/>
      <c r="D51" s="88"/>
      <c r="E51" s="40"/>
      <c r="G51" s="41"/>
      <c r="H51" s="42"/>
      <c r="I51" s="89"/>
      <c r="J51" s="89"/>
      <c r="K51" s="30"/>
    </row>
    <row r="52" spans="1:11" ht="12" customHeight="1">
      <c r="A52" s="79"/>
      <c r="B52" s="70"/>
      <c r="C52" s="88"/>
      <c r="D52" s="88"/>
      <c r="E52" s="40"/>
      <c r="G52" s="693" t="s">
        <v>201</v>
      </c>
      <c r="H52" s="693"/>
      <c r="I52" s="32" t="e">
        <f>'EA (2)'!I55</f>
        <v>#REF!</v>
      </c>
      <c r="J52" s="32" t="e">
        <f>'EA (2)'!J55</f>
        <v>#REF!</v>
      </c>
      <c r="K52" s="30"/>
    </row>
    <row r="53" spans="1:131" ht="12" customHeight="1">
      <c r="A53" s="79"/>
      <c r="B53" s="70"/>
      <c r="C53" s="88"/>
      <c r="D53" s="88"/>
      <c r="E53" s="40"/>
      <c r="G53" s="693" t="s">
        <v>202</v>
      </c>
      <c r="H53" s="693"/>
      <c r="I53" s="32" t="e">
        <f>-SUM(#REF!)</f>
        <v>#REF!</v>
      </c>
      <c r="J53" s="32" t="e">
        <f>-SUM(#REF!)</f>
        <v>#REF!</v>
      </c>
      <c r="K53" s="30"/>
      <c r="EA53" s="62"/>
    </row>
    <row r="54" spans="1:11" ht="12" customHeight="1">
      <c r="A54" s="79"/>
      <c r="B54" s="70"/>
      <c r="C54" s="88"/>
      <c r="D54" s="88"/>
      <c r="E54" s="40"/>
      <c r="G54" s="693" t="s">
        <v>203</v>
      </c>
      <c r="H54" s="693"/>
      <c r="I54" s="32" t="e">
        <f>-SUM(#REF!)</f>
        <v>#REF!</v>
      </c>
      <c r="J54" s="32" t="e">
        <f>-SUM(#REF!)</f>
        <v>#REF!</v>
      </c>
      <c r="K54" s="30"/>
    </row>
    <row r="55" spans="1:11" ht="12">
      <c r="A55" s="79"/>
      <c r="B55" s="70"/>
      <c r="C55" s="70"/>
      <c r="D55" s="40"/>
      <c r="E55" s="40"/>
      <c r="G55" s="693" t="s">
        <v>204</v>
      </c>
      <c r="H55" s="693"/>
      <c r="I55" s="32" t="e">
        <f>-SUM(#REF!)</f>
        <v>#REF!</v>
      </c>
      <c r="J55" s="32" t="e">
        <f>-SUM(#REF!)</f>
        <v>#REF!</v>
      </c>
      <c r="K55" s="30"/>
    </row>
    <row r="56" spans="1:11" ht="12">
      <c r="A56" s="79"/>
      <c r="B56" s="70"/>
      <c r="C56" s="70"/>
      <c r="D56" s="40"/>
      <c r="E56" s="40"/>
      <c r="G56" s="693" t="s">
        <v>205</v>
      </c>
      <c r="H56" s="693"/>
      <c r="I56" s="32" t="e">
        <f>-SUM(#REF!)</f>
        <v>#REF!</v>
      </c>
      <c r="J56" s="32" t="e">
        <f>-SUM(#REF!)</f>
        <v>#REF!</v>
      </c>
      <c r="K56" s="30"/>
    </row>
    <row r="57" spans="1:11" ht="12">
      <c r="A57" s="79"/>
      <c r="B57" s="70"/>
      <c r="C57" s="70"/>
      <c r="D57" s="40"/>
      <c r="E57" s="40"/>
      <c r="G57" s="70"/>
      <c r="H57" s="42"/>
      <c r="I57" s="40"/>
      <c r="J57" s="40"/>
      <c r="K57" s="30"/>
    </row>
    <row r="58" spans="1:11" ht="25.5" customHeight="1">
      <c r="A58" s="79"/>
      <c r="B58" s="70"/>
      <c r="C58" s="70"/>
      <c r="D58" s="40"/>
      <c r="E58" s="40"/>
      <c r="G58" s="794" t="s">
        <v>206</v>
      </c>
      <c r="H58" s="794"/>
      <c r="I58" s="37" t="e">
        <f>SUM(I60:I61)</f>
        <v>#REF!</v>
      </c>
      <c r="J58" s="37" t="e">
        <f>SUM(J60:J61)</f>
        <v>#REF!</v>
      </c>
      <c r="K58" s="30"/>
    </row>
    <row r="59" spans="1:11" ht="12">
      <c r="A59" s="79"/>
      <c r="B59" s="70"/>
      <c r="C59" s="70"/>
      <c r="D59" s="40"/>
      <c r="E59" s="40"/>
      <c r="G59" s="70"/>
      <c r="H59" s="42"/>
      <c r="I59" s="40"/>
      <c r="J59" s="40"/>
      <c r="K59" s="30"/>
    </row>
    <row r="60" spans="1:11" ht="12">
      <c r="A60" s="79"/>
      <c r="B60" s="70"/>
      <c r="C60" s="70"/>
      <c r="D60" s="40"/>
      <c r="E60" s="40"/>
      <c r="G60" s="693" t="s">
        <v>207</v>
      </c>
      <c r="H60" s="693"/>
      <c r="I60" s="32" t="e">
        <f>-SUM(#REF!)</f>
        <v>#REF!</v>
      </c>
      <c r="J60" s="32" t="e">
        <f>-SUM(#REF!)</f>
        <v>#REF!</v>
      </c>
      <c r="K60" s="30"/>
    </row>
    <row r="61" spans="1:11" ht="12">
      <c r="A61" s="79"/>
      <c r="B61" s="70"/>
      <c r="C61" s="70"/>
      <c r="D61" s="40"/>
      <c r="E61" s="40"/>
      <c r="G61" s="693" t="s">
        <v>208</v>
      </c>
      <c r="H61" s="693"/>
      <c r="I61" s="32" t="e">
        <f>-SUM(#REF!)</f>
        <v>#REF!</v>
      </c>
      <c r="J61" s="32" t="e">
        <f>-SUM(#REF!)</f>
        <v>#REF!</v>
      </c>
      <c r="K61" s="30"/>
    </row>
    <row r="62" spans="1:11" ht="9.75" customHeight="1">
      <c r="A62" s="79"/>
      <c r="B62" s="70"/>
      <c r="C62" s="90"/>
      <c r="D62" s="40"/>
      <c r="E62" s="40"/>
      <c r="G62" s="70"/>
      <c r="H62" s="91"/>
      <c r="I62" s="40"/>
      <c r="J62" s="40"/>
      <c r="K62" s="30"/>
    </row>
    <row r="63" spans="1:11" ht="12">
      <c r="A63" s="79"/>
      <c r="B63" s="70"/>
      <c r="C63" s="70"/>
      <c r="D63" s="40"/>
      <c r="E63" s="40"/>
      <c r="G63" s="794" t="s">
        <v>209</v>
      </c>
      <c r="H63" s="794"/>
      <c r="I63" s="37" t="e">
        <f>I44+I50+I58</f>
        <v>#REF!</v>
      </c>
      <c r="J63" s="37" t="e">
        <f>J44+J50+J58</f>
        <v>#REF!</v>
      </c>
      <c r="K63" s="30"/>
    </row>
    <row r="64" spans="1:11" ht="9.75" customHeight="1">
      <c r="A64" s="79"/>
      <c r="B64" s="70"/>
      <c r="C64" s="70"/>
      <c r="D64" s="40"/>
      <c r="E64" s="40"/>
      <c r="G64" s="70"/>
      <c r="H64" s="42"/>
      <c r="I64" s="40"/>
      <c r="J64" s="40"/>
      <c r="K64" s="30"/>
    </row>
    <row r="65" spans="1:11" s="72" customFormat="1" ht="12">
      <c r="A65" s="79"/>
      <c r="B65" s="70"/>
      <c r="C65" s="70"/>
      <c r="D65" s="40"/>
      <c r="E65" s="40"/>
      <c r="F65" s="81"/>
      <c r="G65" s="794" t="s">
        <v>210</v>
      </c>
      <c r="H65" s="794"/>
      <c r="I65" s="37" t="e">
        <f>I40+I63</f>
        <v>#REF!</v>
      </c>
      <c r="J65" s="37" t="e">
        <f>J40+J63</f>
        <v>#REF!</v>
      </c>
      <c r="K65" s="30"/>
    </row>
    <row r="66" spans="1:11" s="72" customFormat="1" ht="6" customHeight="1">
      <c r="A66" s="92"/>
      <c r="B66" s="93"/>
      <c r="C66" s="93"/>
      <c r="D66" s="93"/>
      <c r="E66" s="93"/>
      <c r="F66" s="94"/>
      <c r="G66" s="93"/>
      <c r="H66" s="93"/>
      <c r="I66" s="93"/>
      <c r="J66" s="93"/>
      <c r="K66" s="56"/>
    </row>
    <row r="67" spans="1:11" s="72" customFormat="1" ht="6" customHeight="1">
      <c r="A67" s="20"/>
      <c r="B67" s="42"/>
      <c r="C67" s="62"/>
      <c r="D67" s="63"/>
      <c r="E67" s="63"/>
      <c r="F67" s="81"/>
      <c r="G67" s="64"/>
      <c r="H67" s="62"/>
      <c r="I67" s="63"/>
      <c r="J67" s="63"/>
      <c r="K67" s="21"/>
    </row>
    <row r="68" spans="1:11" s="72" customFormat="1" ht="6" customHeight="1">
      <c r="A68" s="54"/>
      <c r="B68" s="57"/>
      <c r="C68" s="58"/>
      <c r="D68" s="59"/>
      <c r="E68" s="59"/>
      <c r="F68" s="94"/>
      <c r="G68" s="60"/>
      <c r="H68" s="58"/>
      <c r="I68" s="59"/>
      <c r="J68" s="59"/>
      <c r="K68" s="21"/>
    </row>
    <row r="69" spans="1:11" s="72" customFormat="1" ht="6" customHeight="1">
      <c r="A69" s="20"/>
      <c r="B69" s="42"/>
      <c r="C69" s="62"/>
      <c r="D69" s="63"/>
      <c r="E69" s="63"/>
      <c r="F69" s="81"/>
      <c r="G69" s="64"/>
      <c r="H69" s="62"/>
      <c r="I69" s="63"/>
      <c r="J69" s="63"/>
      <c r="K69" s="21"/>
    </row>
    <row r="70" spans="1:11" s="72" customFormat="1" ht="15" customHeight="1">
      <c r="A70" s="20"/>
      <c r="B70" s="798" t="s">
        <v>149</v>
      </c>
      <c r="C70" s="798"/>
      <c r="D70" s="798"/>
      <c r="E70" s="798"/>
      <c r="F70" s="798"/>
      <c r="G70" s="798"/>
      <c r="H70" s="798"/>
      <c r="I70" s="798"/>
      <c r="J70" s="798"/>
      <c r="K70" s="21"/>
    </row>
    <row r="71" spans="1:11" s="72" customFormat="1" ht="9.75" customHeight="1">
      <c r="A71" s="20"/>
      <c r="B71" s="42"/>
      <c r="C71" s="62"/>
      <c r="D71" s="63"/>
      <c r="E71" s="63"/>
      <c r="F71" s="81"/>
      <c r="G71" s="64"/>
      <c r="H71" s="62"/>
      <c r="I71" s="63"/>
      <c r="J71" s="63"/>
      <c r="K71" s="21"/>
    </row>
    <row r="72" spans="1:11" s="72" customFormat="1" ht="49.5" customHeight="1">
      <c r="A72" s="20"/>
      <c r="B72" s="42"/>
      <c r="C72" s="799"/>
      <c r="D72" s="799"/>
      <c r="E72" s="63"/>
      <c r="F72" s="81"/>
      <c r="G72" s="800"/>
      <c r="H72" s="800"/>
      <c r="I72" s="63"/>
      <c r="J72" s="63"/>
      <c r="K72" s="21"/>
    </row>
    <row r="73" spans="1:11" s="72" customFormat="1" ht="13.5" customHeight="1">
      <c r="A73" s="20"/>
      <c r="B73" s="66"/>
      <c r="C73" s="795">
        <f>ENTE!D20</f>
        <v>0</v>
      </c>
      <c r="D73" s="795"/>
      <c r="E73" s="63"/>
      <c r="F73" s="95"/>
      <c r="G73" s="795">
        <f>ENTE!D24</f>
        <v>0</v>
      </c>
      <c r="H73" s="795"/>
      <c r="I73" s="67"/>
      <c r="J73" s="63"/>
      <c r="K73" s="21"/>
    </row>
    <row r="74" spans="1:11" s="72" customFormat="1" ht="13.5" customHeight="1">
      <c r="A74" s="20"/>
      <c r="B74" s="68"/>
      <c r="C74" s="796">
        <f>ENTE!D22</f>
        <v>0</v>
      </c>
      <c r="D74" s="796"/>
      <c r="E74" s="69"/>
      <c r="F74" s="95"/>
      <c r="G74" s="796">
        <f>ENTE!D26</f>
        <v>0</v>
      </c>
      <c r="H74" s="796"/>
      <c r="I74" s="67"/>
      <c r="J74" s="63"/>
      <c r="K74" s="21"/>
    </row>
  </sheetData>
  <sheetProtection selectLockedCells="1"/>
  <mergeCells count="76">
    <mergeCell ref="C74:D74"/>
    <mergeCell ref="G74:H74"/>
    <mergeCell ref="G65:H65"/>
    <mergeCell ref="B70:J70"/>
    <mergeCell ref="C72:D72"/>
    <mergeCell ref="G72:H72"/>
    <mergeCell ref="C73:D73"/>
    <mergeCell ref="G73:H73"/>
    <mergeCell ref="G63:H63"/>
    <mergeCell ref="G47:H47"/>
    <mergeCell ref="G48:H48"/>
    <mergeCell ref="G50:H50"/>
    <mergeCell ref="G52:H52"/>
    <mergeCell ref="G53:H53"/>
    <mergeCell ref="G54:H54"/>
    <mergeCell ref="G55:H55"/>
    <mergeCell ref="G56:H56"/>
    <mergeCell ref="G58:H58"/>
    <mergeCell ref="G60:H60"/>
    <mergeCell ref="G61:H61"/>
    <mergeCell ref="B35:C35"/>
    <mergeCell ref="G35:H35"/>
    <mergeCell ref="G46:H46"/>
    <mergeCell ref="B36:C36"/>
    <mergeCell ref="G36:H36"/>
    <mergeCell ref="B37:C37"/>
    <mergeCell ref="B38:C38"/>
    <mergeCell ref="G38:H38"/>
    <mergeCell ref="B39:C39"/>
    <mergeCell ref="G40:H40"/>
    <mergeCell ref="B41:C41"/>
    <mergeCell ref="G42:H42"/>
    <mergeCell ref="B43:C43"/>
    <mergeCell ref="G44:H44"/>
    <mergeCell ref="B34:C34"/>
    <mergeCell ref="G34:H34"/>
    <mergeCell ref="B21:C21"/>
    <mergeCell ref="G21:H21"/>
    <mergeCell ref="B22:C22"/>
    <mergeCell ref="G22:H22"/>
    <mergeCell ref="B32:C32"/>
    <mergeCell ref="G32:H32"/>
    <mergeCell ref="G23:H23"/>
    <mergeCell ref="B24:C24"/>
    <mergeCell ref="G24:H24"/>
    <mergeCell ref="G25:H25"/>
    <mergeCell ref="B26:C26"/>
    <mergeCell ref="B33:C33"/>
    <mergeCell ref="G33:H33"/>
    <mergeCell ref="B29:C29"/>
    <mergeCell ref="G29:H29"/>
    <mergeCell ref="B31:C31"/>
    <mergeCell ref="G27:H27"/>
    <mergeCell ref="B18:C18"/>
    <mergeCell ref="G18:H18"/>
    <mergeCell ref="B19:C19"/>
    <mergeCell ref="G19:H19"/>
    <mergeCell ref="B20:C20"/>
    <mergeCell ref="G20:H20"/>
    <mergeCell ref="B23:C23"/>
    <mergeCell ref="G31:H31"/>
    <mergeCell ref="A10:A11"/>
    <mergeCell ref="B10:C11"/>
    <mergeCell ref="F10:F11"/>
    <mergeCell ref="G10:H11"/>
    <mergeCell ref="B16:C16"/>
    <mergeCell ref="G16:H16"/>
    <mergeCell ref="B14:C14"/>
    <mergeCell ref="G14:H14"/>
    <mergeCell ref="B6:K6"/>
    <mergeCell ref="C7:K7"/>
    <mergeCell ref="B1:K1"/>
    <mergeCell ref="B2:K2"/>
    <mergeCell ref="B3:K3"/>
    <mergeCell ref="B4:K4"/>
    <mergeCell ref="B5:K5"/>
  </mergeCells>
  <conditionalFormatting sqref="D47:D54 C49:C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.7086614173228347" right="0.7086614173228347" top="0.7480314960629921" bottom="0.7480314960629921" header="0" footer="0"/>
  <pageSetup fitToHeight="1" fitToWidth="1" horizontalDpi="600" verticalDpi="600" orientation="landscape" scale="54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9"/>
  <sheetViews>
    <sheetView showGridLines="0" view="pageBreakPreview" zoomScale="98" zoomScaleSheetLayoutView="98" zoomScalePageLayoutView="0" workbookViewId="0" topLeftCell="A1">
      <selection activeCell="B2" sqref="B2:J2"/>
    </sheetView>
  </sheetViews>
  <sheetFormatPr defaultColWidth="11.421875" defaultRowHeight="15"/>
  <cols>
    <col min="1" max="1" width="1.57421875" style="21" customWidth="1"/>
    <col min="2" max="2" width="4.57421875" style="159" customWidth="1"/>
    <col min="3" max="3" width="44.7109375" style="3" customWidth="1"/>
    <col min="4" max="9" width="18.7109375" style="3" customWidth="1"/>
    <col min="10" max="10" width="3.28125" style="21" customWidth="1"/>
    <col min="11" max="16384" width="11.421875" style="3" customWidth="1"/>
  </cols>
  <sheetData>
    <row r="1" s="21" customFormat="1" ht="12" customHeight="1"/>
    <row r="2" spans="2:10" ht="12" customHeight="1">
      <c r="B2" s="677"/>
      <c r="C2" s="677"/>
      <c r="D2" s="677"/>
      <c r="E2" s="677"/>
      <c r="F2" s="677"/>
      <c r="G2" s="677"/>
      <c r="H2" s="677"/>
      <c r="I2" s="677"/>
      <c r="J2" s="677"/>
    </row>
    <row r="3" spans="2:9" ht="12" customHeight="1">
      <c r="B3" s="680" t="s">
        <v>309</v>
      </c>
      <c r="C3" s="680"/>
      <c r="D3" s="680"/>
      <c r="E3" s="680"/>
      <c r="F3" s="680"/>
      <c r="G3" s="680"/>
      <c r="H3" s="680"/>
      <c r="I3" s="680"/>
    </row>
    <row r="4" spans="2:9" ht="12" customHeight="1">
      <c r="B4" s="680" t="str">
        <f>"Del 1 de enero al "&amp;TEXT(INDEX(Periodos,ENTE!D18,1),"dd")&amp;" de "&amp;TEXT(INDEX(Periodos,ENTE!D18,1),"mmmm")&amp;" de "&amp;TEXT(INDEX(Periodos,ENTE!D18,1),"aaaa")&amp;""</f>
        <v>Del 1 de enero al 30 de septiembre de 2017</v>
      </c>
      <c r="C4" s="680"/>
      <c r="D4" s="680"/>
      <c r="E4" s="680"/>
      <c r="F4" s="680"/>
      <c r="G4" s="680"/>
      <c r="H4" s="680"/>
      <c r="I4" s="680"/>
    </row>
    <row r="5" spans="2:9" ht="12" customHeight="1">
      <c r="B5" s="352"/>
      <c r="C5" s="680" t="s">
        <v>92</v>
      </c>
      <c r="D5" s="680"/>
      <c r="E5" s="680"/>
      <c r="F5" s="680"/>
      <c r="G5" s="680"/>
      <c r="H5" s="680"/>
      <c r="I5" s="680"/>
    </row>
    <row r="6" spans="2:9" s="21" customFormat="1" ht="12" customHeight="1">
      <c r="B6" s="680"/>
      <c r="C6" s="680"/>
      <c r="D6" s="680"/>
      <c r="E6" s="680"/>
      <c r="F6" s="680"/>
      <c r="G6" s="680"/>
      <c r="H6" s="680"/>
      <c r="I6" s="680"/>
    </row>
    <row r="7" spans="2:9" s="21" customFormat="1" ht="12" customHeight="1">
      <c r="B7" s="178" t="s">
        <v>4</v>
      </c>
      <c r="C7" s="679" t="str">
        <f>ENTE!D8</f>
        <v>UNIDAD DE SERVICIOS PARA LA EDUCACION BASICA EN EL ESTADO DE QUERETARO</v>
      </c>
      <c r="D7" s="679"/>
      <c r="E7" s="679"/>
      <c r="F7" s="679"/>
      <c r="G7" s="679"/>
      <c r="H7" s="679"/>
      <c r="I7" s="679"/>
    </row>
    <row r="8" s="21" customFormat="1" ht="12" customHeight="1"/>
    <row r="9" spans="2:9" ht="12">
      <c r="B9" s="735" t="s">
        <v>93</v>
      </c>
      <c r="C9" s="735"/>
      <c r="D9" s="729" t="s">
        <v>493</v>
      </c>
      <c r="E9" s="729"/>
      <c r="F9" s="729"/>
      <c r="G9" s="729"/>
      <c r="H9" s="729"/>
      <c r="I9" s="729" t="s">
        <v>636</v>
      </c>
    </row>
    <row r="10" spans="2:9" ht="24">
      <c r="B10" s="735"/>
      <c r="C10" s="735"/>
      <c r="D10" s="357" t="s">
        <v>243</v>
      </c>
      <c r="E10" s="357" t="s">
        <v>244</v>
      </c>
      <c r="F10" s="357" t="s">
        <v>220</v>
      </c>
      <c r="G10" s="357" t="s">
        <v>221</v>
      </c>
      <c r="H10" s="357" t="s">
        <v>245</v>
      </c>
      <c r="I10" s="729"/>
    </row>
    <row r="11" spans="2:9" ht="12">
      <c r="B11" s="735"/>
      <c r="C11" s="735"/>
      <c r="D11" s="357">
        <v>1</v>
      </c>
      <c r="E11" s="357">
        <v>2</v>
      </c>
      <c r="F11" s="357" t="s">
        <v>246</v>
      </c>
      <c r="G11" s="357">
        <v>4</v>
      </c>
      <c r="H11" s="357">
        <v>5</v>
      </c>
      <c r="I11" s="357" t="s">
        <v>247</v>
      </c>
    </row>
    <row r="12" spans="2:9" ht="3" customHeight="1">
      <c r="B12" s="149"/>
      <c r="C12" s="138"/>
      <c r="D12" s="139"/>
      <c r="E12" s="139"/>
      <c r="F12" s="139"/>
      <c r="G12" s="139"/>
      <c r="H12" s="139"/>
      <c r="I12" s="139"/>
    </row>
    <row r="13" spans="1:10" s="150" customFormat="1" ht="12" customHeight="1">
      <c r="A13" s="72"/>
      <c r="B13" s="83"/>
      <c r="C13" s="160" t="s">
        <v>84</v>
      </c>
      <c r="D13" s="105">
        <f>-SFF!D11</f>
        <v>0</v>
      </c>
      <c r="E13" s="105">
        <f>-SFF!F11</f>
        <v>0</v>
      </c>
      <c r="F13" s="105">
        <f>+D13+E13</f>
        <v>0</v>
      </c>
      <c r="G13" s="105">
        <f>SFF!H11+SFF!I11+SFF!J11</f>
        <v>0</v>
      </c>
      <c r="H13" s="105">
        <f>SFF!J11</f>
        <v>0</v>
      </c>
      <c r="I13" s="105">
        <f>+F13-G13</f>
        <v>0</v>
      </c>
      <c r="J13" s="72"/>
    </row>
    <row r="14" spans="1:10" s="150" customFormat="1" ht="12">
      <c r="A14" s="72"/>
      <c r="B14" s="83"/>
      <c r="C14" s="160" t="s">
        <v>85</v>
      </c>
      <c r="D14" s="105">
        <f>-SFF!D12</f>
        <v>0</v>
      </c>
      <c r="E14" s="105">
        <f>-SFF!F12</f>
        <v>0</v>
      </c>
      <c r="F14" s="105">
        <f aca="true" t="shared" si="0" ref="F14:F19">+D14+E14</f>
        <v>0</v>
      </c>
      <c r="G14" s="105">
        <f>SFF!H12+SFF!I12+SFF!J12</f>
        <v>0</v>
      </c>
      <c r="H14" s="105">
        <f>SFF!J12</f>
        <v>0</v>
      </c>
      <c r="I14" s="105">
        <f aca="true" t="shared" si="1" ref="I14:I19">+F14-G14</f>
        <v>0</v>
      </c>
      <c r="J14" s="72"/>
    </row>
    <row r="15" spans="1:10" s="150" customFormat="1" ht="12">
      <c r="A15" s="72"/>
      <c r="B15" s="83"/>
      <c r="C15" s="160" t="s">
        <v>86</v>
      </c>
      <c r="D15" s="105">
        <f>-SFF!D13</f>
        <v>0</v>
      </c>
      <c r="E15" s="105">
        <f>-SFF!F13</f>
        <v>0</v>
      </c>
      <c r="F15" s="105">
        <f t="shared" si="0"/>
        <v>0</v>
      </c>
      <c r="G15" s="105">
        <f>SFF!H13+SFF!I13+SFF!J13</f>
        <v>0</v>
      </c>
      <c r="H15" s="105">
        <f>SFF!J13</f>
        <v>0</v>
      </c>
      <c r="I15" s="105">
        <f t="shared" si="1"/>
        <v>0</v>
      </c>
      <c r="J15" s="72"/>
    </row>
    <row r="16" spans="1:10" s="150" customFormat="1" ht="12">
      <c r="A16" s="72"/>
      <c r="B16" s="83"/>
      <c r="C16" s="160" t="s">
        <v>87</v>
      </c>
      <c r="D16" s="105">
        <f>-SFF!D14</f>
        <v>2000000</v>
      </c>
      <c r="E16" s="105">
        <f>-SFF!F14</f>
        <v>220084.96</v>
      </c>
      <c r="F16" s="105">
        <f t="shared" si="0"/>
        <v>2220084.96</v>
      </c>
      <c r="G16" s="105">
        <f>SFF!H14+SFF!I14+SFF!J14</f>
        <v>1189329.4300000002</v>
      </c>
      <c r="H16" s="105">
        <f>SFF!J14</f>
        <v>1189329.4300000002</v>
      </c>
      <c r="I16" s="105">
        <f t="shared" si="1"/>
        <v>1030755.5299999998</v>
      </c>
      <c r="J16" s="72"/>
    </row>
    <row r="17" spans="1:10" s="150" customFormat="1" ht="12">
      <c r="A17" s="72"/>
      <c r="B17" s="83"/>
      <c r="C17" s="160" t="s">
        <v>88</v>
      </c>
      <c r="D17" s="105">
        <f>-SFF!D15</f>
        <v>6423385478</v>
      </c>
      <c r="E17" s="105">
        <f>-SFF!F15</f>
        <v>25169757.13</v>
      </c>
      <c r="F17" s="105">
        <f t="shared" si="0"/>
        <v>6448555235.13</v>
      </c>
      <c r="G17" s="105">
        <f>SFF!H15+SFF!I15+SFF!J15</f>
        <v>3287805771.769998</v>
      </c>
      <c r="H17" s="105">
        <f>SFF!J15</f>
        <v>173028826.69000006</v>
      </c>
      <c r="I17" s="105">
        <f t="shared" si="1"/>
        <v>3160749463.360002</v>
      </c>
      <c r="J17" s="72"/>
    </row>
    <row r="18" spans="1:10" s="150" customFormat="1" ht="12">
      <c r="A18" s="72"/>
      <c r="B18" s="83"/>
      <c r="C18" s="160" t="s">
        <v>89</v>
      </c>
      <c r="D18" s="105">
        <f>-SFF!D16</f>
        <v>577072515</v>
      </c>
      <c r="E18" s="105">
        <f>-SFF!F16</f>
        <v>131577819.11000025</v>
      </c>
      <c r="F18" s="105">
        <f t="shared" si="0"/>
        <v>708650334.1100003</v>
      </c>
      <c r="G18" s="105">
        <f>SFF!H16+SFF!I16+SFF!J16</f>
        <v>554167662.6600001</v>
      </c>
      <c r="H18" s="105">
        <f>SFF!J16</f>
        <v>536644147.64</v>
      </c>
      <c r="I18" s="105">
        <f t="shared" si="1"/>
        <v>154482671.45000017</v>
      </c>
      <c r="J18" s="72"/>
    </row>
    <row r="19" spans="1:10" s="150" customFormat="1" ht="12">
      <c r="A19" s="72"/>
      <c r="B19" s="83"/>
      <c r="C19" s="160" t="s">
        <v>90</v>
      </c>
      <c r="D19" s="105">
        <f>-SFF!D17</f>
        <v>0</v>
      </c>
      <c r="E19" s="105">
        <f>-SFF!F17</f>
        <v>0</v>
      </c>
      <c r="F19" s="105">
        <f t="shared" si="0"/>
        <v>0</v>
      </c>
      <c r="G19" s="105">
        <f>SFF!H17+SFF!I17+SFF!J17</f>
        <v>0</v>
      </c>
      <c r="H19" s="105">
        <f>SFF!J17</f>
        <v>0</v>
      </c>
      <c r="I19" s="105">
        <f t="shared" si="1"/>
        <v>0</v>
      </c>
      <c r="J19" s="72"/>
    </row>
    <row r="20" spans="1:10" s="150" customFormat="1" ht="12">
      <c r="A20" s="72"/>
      <c r="B20" s="151"/>
      <c r="C20" s="152"/>
      <c r="D20" s="105"/>
      <c r="E20" s="105"/>
      <c r="F20" s="105"/>
      <c r="G20" s="105"/>
      <c r="H20" s="105"/>
      <c r="I20" s="105"/>
      <c r="J20" s="72"/>
    </row>
    <row r="21" spans="1:10" s="154" customFormat="1" ht="12" customHeight="1">
      <c r="A21" s="153"/>
      <c r="B21" s="161"/>
      <c r="C21" s="160"/>
      <c r="D21" s="360"/>
      <c r="E21" s="360"/>
      <c r="F21" s="360"/>
      <c r="G21" s="360"/>
      <c r="H21" s="360"/>
      <c r="I21" s="360"/>
      <c r="J21" s="153"/>
    </row>
    <row r="22" spans="1:10" s="150" customFormat="1" ht="12">
      <c r="A22" s="72"/>
      <c r="B22" s="151"/>
      <c r="C22" s="152"/>
      <c r="D22" s="105"/>
      <c r="E22" s="105"/>
      <c r="F22" s="105"/>
      <c r="G22" s="105"/>
      <c r="H22" s="105"/>
      <c r="I22" s="105"/>
      <c r="J22" s="72"/>
    </row>
    <row r="23" spans="1:10" s="150" customFormat="1" ht="12">
      <c r="A23" s="72"/>
      <c r="B23" s="151"/>
      <c r="C23" s="152"/>
      <c r="D23" s="105"/>
      <c r="E23" s="105"/>
      <c r="F23" s="105"/>
      <c r="G23" s="105"/>
      <c r="H23" s="105"/>
      <c r="I23" s="105"/>
      <c r="J23" s="72"/>
    </row>
    <row r="24" spans="1:10" s="150" customFormat="1" ht="12">
      <c r="A24" s="72"/>
      <c r="B24" s="151"/>
      <c r="C24" s="152"/>
      <c r="D24" s="105"/>
      <c r="E24" s="105"/>
      <c r="F24" s="105"/>
      <c r="G24" s="105"/>
      <c r="H24" s="105"/>
      <c r="I24" s="105"/>
      <c r="J24" s="72"/>
    </row>
    <row r="25" spans="1:10" s="150" customFormat="1" ht="12">
      <c r="A25" s="72"/>
      <c r="B25" s="151"/>
      <c r="C25" s="152"/>
      <c r="D25" s="105"/>
      <c r="E25" s="105"/>
      <c r="F25" s="105"/>
      <c r="G25" s="105"/>
      <c r="H25" s="105"/>
      <c r="I25" s="105"/>
      <c r="J25" s="72"/>
    </row>
    <row r="26" spans="1:10" s="150" customFormat="1" ht="12">
      <c r="A26" s="72"/>
      <c r="B26" s="155"/>
      <c r="C26" s="156"/>
      <c r="D26" s="512"/>
      <c r="E26" s="512"/>
      <c r="F26" s="512"/>
      <c r="G26" s="512"/>
      <c r="H26" s="512"/>
      <c r="I26" s="512"/>
      <c r="J26" s="72"/>
    </row>
    <row r="27" spans="1:10" s="154" customFormat="1" ht="12">
      <c r="A27" s="153"/>
      <c r="B27" s="157"/>
      <c r="C27" s="158" t="s">
        <v>248</v>
      </c>
      <c r="D27" s="398">
        <f aca="true" t="shared" si="2" ref="D27:I27">SUM(D13:D19)</f>
        <v>7002457993</v>
      </c>
      <c r="E27" s="398">
        <f t="shared" si="2"/>
        <v>156967661.20000026</v>
      </c>
      <c r="F27" s="398">
        <f t="shared" si="2"/>
        <v>7159425654.200001</v>
      </c>
      <c r="G27" s="398">
        <f t="shared" si="2"/>
        <v>3843162763.8599977</v>
      </c>
      <c r="H27" s="398">
        <f t="shared" si="2"/>
        <v>710862303.76</v>
      </c>
      <c r="I27" s="398">
        <f t="shared" si="2"/>
        <v>3316262890.3400025</v>
      </c>
      <c r="J27" s="153"/>
    </row>
    <row r="28" spans="2:8" ht="12">
      <c r="B28" s="693" t="s">
        <v>149</v>
      </c>
      <c r="C28" s="693"/>
      <c r="D28" s="693"/>
      <c r="E28" s="693"/>
      <c r="F28" s="693"/>
      <c r="G28" s="693"/>
      <c r="H28" s="693"/>
    </row>
    <row r="29" spans="2:9" ht="52.5" customHeight="1" hidden="1">
      <c r="B29" s="715" t="s">
        <v>249</v>
      </c>
      <c r="C29" s="716"/>
      <c r="D29" s="716"/>
      <c r="E29" s="716"/>
      <c r="F29" s="716"/>
      <c r="G29" s="716"/>
      <c r="H29" s="716"/>
      <c r="I29" s="716"/>
    </row>
    <row r="30" spans="2:9" ht="15.75" customHeight="1">
      <c r="B30" s="354"/>
      <c r="C30" s="355"/>
      <c r="D30" s="355"/>
      <c r="E30" s="355"/>
      <c r="F30" s="355"/>
      <c r="G30" s="355"/>
      <c r="H30" s="355"/>
      <c r="I30" s="355"/>
    </row>
    <row r="31" spans="2:9" ht="12">
      <c r="B31" s="693"/>
      <c r="C31" s="693"/>
      <c r="D31" s="693"/>
      <c r="E31" s="693"/>
      <c r="F31" s="693"/>
      <c r="G31" s="693"/>
      <c r="H31" s="693"/>
      <c r="I31" s="143"/>
    </row>
    <row r="32" spans="4:9" ht="12">
      <c r="D32" s="143"/>
      <c r="E32" s="143"/>
      <c r="F32" s="143"/>
      <c r="G32" s="144" t="str">
        <f>IF(CAdmon!G77=G27," ","ERROR EN EL TOTAL DEL DEVENGADO")</f>
        <v> </v>
      </c>
      <c r="I32" s="143"/>
    </row>
    <row r="33" spans="4:9" ht="12">
      <c r="D33" s="143"/>
      <c r="E33" s="143"/>
      <c r="F33" s="143"/>
      <c r="G33" s="144"/>
      <c r="I33" s="143"/>
    </row>
    <row r="34" spans="4:8" ht="12">
      <c r="D34" s="143"/>
      <c r="E34" s="143"/>
      <c r="F34" s="143"/>
      <c r="G34" s="143"/>
      <c r="H34" s="144" t="str">
        <f>IF(CAdmon!H77=H27," ","ERROR EN EL TOTAL DEL PAGADO")</f>
        <v> </v>
      </c>
    </row>
    <row r="35" spans="3:9" ht="12">
      <c r="C35" s="1"/>
      <c r="D35" s="310"/>
      <c r="E35" s="310"/>
      <c r="F35" s="310"/>
      <c r="G35" s="310"/>
      <c r="H35" s="310"/>
      <c r="I35" s="311"/>
    </row>
    <row r="36" spans="3:9" ht="12">
      <c r="C36" s="809"/>
      <c r="D36" s="809"/>
      <c r="E36" s="1"/>
      <c r="F36" s="809"/>
      <c r="G36" s="809"/>
      <c r="H36" s="809"/>
      <c r="I36" s="292"/>
    </row>
    <row r="37" spans="3:9" ht="12">
      <c r="C37" s="731" t="str">
        <f>+ENTE!D10</f>
        <v>ING. ENRIQUE DE ECHAVARRI LARY</v>
      </c>
      <c r="D37" s="731"/>
      <c r="E37" s="315"/>
      <c r="F37" s="731" t="str">
        <f>+ENTE!D14</f>
        <v>LIC. RICARDO SALVADOR BACA MUÑOZ</v>
      </c>
      <c r="G37" s="731"/>
      <c r="H37" s="731"/>
      <c r="I37" s="379"/>
    </row>
    <row r="38" spans="3:9" ht="12">
      <c r="C38" s="730" t="str">
        <f>+ENTE!D12</f>
        <v>COORDINADOR GENERAL </v>
      </c>
      <c r="D38" s="730"/>
      <c r="E38" s="315"/>
      <c r="F38" s="730" t="str">
        <f>+ENTE!D16</f>
        <v>DIRECTOR DE ADMINISTRACION</v>
      </c>
      <c r="G38" s="730"/>
      <c r="H38" s="730"/>
      <c r="I38" s="380"/>
    </row>
    <row r="39" spans="3:9" ht="12">
      <c r="C39" s="1"/>
      <c r="D39" s="1"/>
      <c r="E39" s="1"/>
      <c r="F39" s="1"/>
      <c r="G39" s="1"/>
      <c r="H39" s="1"/>
      <c r="I39" s="1"/>
    </row>
  </sheetData>
  <sheetProtection sheet="1" objects="1" scenarios="1" selectLockedCells="1"/>
  <mergeCells count="18">
    <mergeCell ref="D9:H9"/>
    <mergeCell ref="I9:I10"/>
    <mergeCell ref="C36:D36"/>
    <mergeCell ref="C37:D37"/>
    <mergeCell ref="C38:D38"/>
    <mergeCell ref="F36:H36"/>
    <mergeCell ref="F37:H37"/>
    <mergeCell ref="F38:H38"/>
    <mergeCell ref="C5:I5"/>
    <mergeCell ref="B28:H28"/>
    <mergeCell ref="B2:J2"/>
    <mergeCell ref="B31:H31"/>
    <mergeCell ref="B29:I29"/>
    <mergeCell ref="B3:I3"/>
    <mergeCell ref="B4:I4"/>
    <mergeCell ref="B6:I6"/>
    <mergeCell ref="C7:I7"/>
    <mergeCell ref="B9:C1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3" r:id="rId1"/>
  <headerFooter>
    <oddFooter>&amp;C&amp;A&amp;RPágina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0"/>
  <sheetViews>
    <sheetView showGridLines="0" view="pageBreakPreview" zoomScaleSheetLayoutView="100" zoomScalePageLayoutView="0" workbookViewId="0" topLeftCell="A1">
      <selection activeCell="D12" sqref="D12"/>
    </sheetView>
  </sheetViews>
  <sheetFormatPr defaultColWidth="11.421875" defaultRowHeight="15"/>
  <cols>
    <col min="1" max="1" width="2.57421875" style="3" customWidth="1"/>
    <col min="2" max="2" width="4.8515625" style="3" customWidth="1"/>
    <col min="3" max="3" width="57.00390625" style="3" customWidth="1"/>
    <col min="4" max="6" width="22.28125" style="3" customWidth="1"/>
    <col min="7" max="7" width="2.8515625" style="3" customWidth="1"/>
    <col min="8" max="16384" width="11.421875" style="3" customWidth="1"/>
  </cols>
  <sheetData>
    <row r="1" ht="12" customHeight="1"/>
    <row r="2" spans="2:9" ht="12" customHeight="1">
      <c r="B2" s="677"/>
      <c r="C2" s="677"/>
      <c r="D2" s="677"/>
      <c r="E2" s="677"/>
      <c r="F2" s="677"/>
      <c r="G2" s="281"/>
      <c r="H2" s="281"/>
      <c r="I2" s="281"/>
    </row>
    <row r="3" spans="2:6" ht="12" customHeight="1">
      <c r="B3" s="680" t="s">
        <v>318</v>
      </c>
      <c r="C3" s="680"/>
      <c r="D3" s="680"/>
      <c r="E3" s="680"/>
      <c r="F3" s="680"/>
    </row>
    <row r="4" spans="2:6" ht="12" customHeight="1">
      <c r="B4" s="680" t="str">
        <f>"Del 1 de enero al "&amp;TEXT(INDEX(Periodos,ENTE!D18,1),"dd")&amp;" de "&amp;TEXT(INDEX(Periodos,ENTE!D18,1),"mmmm")&amp;" de "&amp;TEXT(INDEX(Periodos,ENTE!D18,1),"aaaa")&amp;""</f>
        <v>Del 1 de enero al 30 de septiembre de 2017</v>
      </c>
      <c r="C4" s="680"/>
      <c r="D4" s="680"/>
      <c r="E4" s="680"/>
      <c r="F4" s="680"/>
    </row>
    <row r="5" spans="2:6" ht="12" customHeight="1">
      <c r="B5" s="680" t="s">
        <v>92</v>
      </c>
      <c r="C5" s="680"/>
      <c r="D5" s="680"/>
      <c r="E5" s="680"/>
      <c r="F5" s="680"/>
    </row>
    <row r="6" spans="2:6" ht="12" customHeight="1">
      <c r="B6" s="680"/>
      <c r="C6" s="680"/>
      <c r="D6" s="680"/>
      <c r="E6" s="680"/>
      <c r="F6" s="680"/>
    </row>
    <row r="7" spans="2:6" ht="12" customHeight="1">
      <c r="B7" s="178" t="s">
        <v>4</v>
      </c>
      <c r="C7" s="679" t="str">
        <f>ENTE!D8</f>
        <v>UNIDAD DE SERVICIOS PARA LA EDUCACION BASICA EN EL ESTADO DE QUERETARO</v>
      </c>
      <c r="D7" s="679"/>
      <c r="E7" s="679"/>
      <c r="F7" s="679"/>
    </row>
    <row r="8" spans="2:6" ht="6" customHeight="1">
      <c r="B8" s="21"/>
      <c r="C8" s="21"/>
      <c r="D8" s="21"/>
      <c r="E8" s="21"/>
      <c r="F8" s="21"/>
    </row>
    <row r="9" spans="2:6" ht="14.25">
      <c r="B9" s="735" t="s">
        <v>93</v>
      </c>
      <c r="C9" s="735"/>
      <c r="D9" s="357" t="s">
        <v>218</v>
      </c>
      <c r="E9" s="357" t="s">
        <v>221</v>
      </c>
      <c r="F9" s="357" t="s">
        <v>319</v>
      </c>
    </row>
    <row r="10" spans="2:6" ht="5.25" customHeight="1" thickBot="1">
      <c r="B10" s="137"/>
      <c r="C10" s="138"/>
      <c r="D10" s="139"/>
      <c r="E10" s="139"/>
      <c r="F10" s="139"/>
    </row>
    <row r="11" spans="2:6" ht="12" customHeight="1" thickBot="1">
      <c r="B11" s="377" t="s">
        <v>320</v>
      </c>
      <c r="C11" s="167"/>
      <c r="D11" s="514">
        <f>+D12+D13</f>
        <v>7002457993</v>
      </c>
      <c r="E11" s="514">
        <f>+E12+E13</f>
        <v>3866855252.9000006</v>
      </c>
      <c r="F11" s="514">
        <f>+F12+F13</f>
        <v>759958897.8199999</v>
      </c>
    </row>
    <row r="12" spans="2:6" ht="12">
      <c r="B12" s="814" t="s">
        <v>321</v>
      </c>
      <c r="C12" s="815"/>
      <c r="D12" s="571">
        <f>+EAI!E35</f>
        <v>7001681888</v>
      </c>
      <c r="E12" s="571">
        <f>+EAI!H35</f>
        <v>3866280172.8700004</v>
      </c>
      <c r="F12" s="571">
        <f>+EAI!I35</f>
        <v>759383817.79</v>
      </c>
    </row>
    <row r="13" spans="2:6" ht="12">
      <c r="B13" s="812" t="s">
        <v>322</v>
      </c>
      <c r="C13" s="813"/>
      <c r="D13" s="572">
        <f>+EAI!E48</f>
        <v>776105</v>
      </c>
      <c r="E13" s="572">
        <f>+EAI!H48</f>
        <v>575080.03</v>
      </c>
      <c r="F13" s="572">
        <f>+EAI!I48</f>
        <v>575080.03</v>
      </c>
    </row>
    <row r="14" spans="2:6" ht="6.75" customHeight="1" thickBot="1">
      <c r="B14" s="128"/>
      <c r="C14" s="345"/>
      <c r="D14" s="513"/>
      <c r="E14" s="513"/>
      <c r="F14" s="513"/>
    </row>
    <row r="15" spans="2:6" ht="12.75" thickBot="1">
      <c r="B15" s="377" t="s">
        <v>323</v>
      </c>
      <c r="C15" s="167"/>
      <c r="D15" s="514">
        <f>+D16+D17</f>
        <v>7002457993</v>
      </c>
      <c r="E15" s="514">
        <f>+E16+E17</f>
        <v>3843162763.859999</v>
      </c>
      <c r="F15" s="514">
        <f>+F16+F17</f>
        <v>710862303.7599999</v>
      </c>
    </row>
    <row r="16" spans="2:6" ht="12">
      <c r="B16" s="816" t="s">
        <v>324</v>
      </c>
      <c r="C16" s="817"/>
      <c r="D16" s="571">
        <f>COG!D84-COG!D77</f>
        <v>7002457993</v>
      </c>
      <c r="E16" s="571">
        <f>COG!G84-COG!G77</f>
        <v>3843162763.859999</v>
      </c>
      <c r="F16" s="571">
        <f>COG!H84-COG!H77</f>
        <v>710862303.7599999</v>
      </c>
    </row>
    <row r="17" spans="2:6" ht="12">
      <c r="B17" s="812" t="s">
        <v>325</v>
      </c>
      <c r="C17" s="813"/>
      <c r="D17" s="378"/>
      <c r="E17" s="378"/>
      <c r="F17" s="378"/>
    </row>
    <row r="18" spans="2:6" ht="5.25" customHeight="1" thickBot="1">
      <c r="B18" s="140"/>
      <c r="C18" s="362"/>
      <c r="D18" s="513"/>
      <c r="E18" s="513"/>
      <c r="F18" s="513"/>
    </row>
    <row r="19" spans="2:6" ht="12.75" thickBot="1">
      <c r="B19" s="377" t="s">
        <v>326</v>
      </c>
      <c r="C19" s="167"/>
      <c r="D19" s="514">
        <f>+D11-D15</f>
        <v>0</v>
      </c>
      <c r="E19" s="514">
        <f>+E11-E15</f>
        <v>23692489.040001392</v>
      </c>
      <c r="F19" s="514">
        <f>+F11-F15</f>
        <v>49096594.06000006</v>
      </c>
    </row>
    <row r="20" spans="2:6" ht="12">
      <c r="B20" s="21"/>
      <c r="C20" s="21"/>
      <c r="D20" s="21"/>
      <c r="E20" s="21"/>
      <c r="F20" s="21"/>
    </row>
    <row r="21" spans="2:6" ht="14.25">
      <c r="B21" s="735" t="s">
        <v>93</v>
      </c>
      <c r="C21" s="735"/>
      <c r="D21" s="357" t="s">
        <v>218</v>
      </c>
      <c r="E21" s="357" t="s">
        <v>221</v>
      </c>
      <c r="F21" s="357" t="s">
        <v>319</v>
      </c>
    </row>
    <row r="22" spans="2:6" ht="6.75" customHeight="1">
      <c r="B22" s="137"/>
      <c r="C22" s="138"/>
      <c r="D22" s="139"/>
      <c r="E22" s="139"/>
      <c r="F22" s="139"/>
    </row>
    <row r="23" spans="2:6" ht="12">
      <c r="B23" s="810" t="s">
        <v>327</v>
      </c>
      <c r="C23" s="811"/>
      <c r="D23" s="515">
        <f>+D19</f>
        <v>0</v>
      </c>
      <c r="E23" s="515">
        <f>+E19</f>
        <v>23692489.040001392</v>
      </c>
      <c r="F23" s="515">
        <f>+F19</f>
        <v>49096594.06000006</v>
      </c>
    </row>
    <row r="24" spans="2:6" ht="6" customHeight="1">
      <c r="B24" s="128"/>
      <c r="C24" s="345"/>
      <c r="D24" s="513"/>
      <c r="E24" s="513"/>
      <c r="F24" s="513"/>
    </row>
    <row r="25" spans="2:6" ht="12">
      <c r="B25" s="810" t="s">
        <v>328</v>
      </c>
      <c r="C25" s="811"/>
      <c r="D25" s="515">
        <f>SUM(COG!D78:D80)</f>
        <v>0</v>
      </c>
      <c r="E25" s="515">
        <f>SUM(COG!G78:G80)</f>
        <v>0</v>
      </c>
      <c r="F25" s="515">
        <f>SUM(COG!H78:H80)</f>
        <v>0</v>
      </c>
    </row>
    <row r="26" spans="2:6" ht="7.5" customHeight="1" thickBot="1">
      <c r="B26" s="140"/>
      <c r="C26" s="362"/>
      <c r="D26" s="513"/>
      <c r="E26" s="513"/>
      <c r="F26" s="513"/>
    </row>
    <row r="27" spans="2:6" ht="12.75" thickBot="1">
      <c r="B27" s="377" t="s">
        <v>329</v>
      </c>
      <c r="C27" s="168"/>
      <c r="D27" s="516">
        <f>+D23-D25</f>
        <v>0</v>
      </c>
      <c r="E27" s="516">
        <f>+E23-E25</f>
        <v>23692489.040001392</v>
      </c>
      <c r="F27" s="516">
        <f>+F23-F25</f>
        <v>49096594.06000006</v>
      </c>
    </row>
    <row r="28" spans="2:6" ht="12">
      <c r="B28" s="21"/>
      <c r="C28" s="21"/>
      <c r="D28" s="21"/>
      <c r="E28" s="21"/>
      <c r="F28" s="21"/>
    </row>
    <row r="29" spans="2:6" ht="14.25">
      <c r="B29" s="735" t="s">
        <v>93</v>
      </c>
      <c r="C29" s="735"/>
      <c r="D29" s="357" t="s">
        <v>218</v>
      </c>
      <c r="E29" s="357" t="s">
        <v>221</v>
      </c>
      <c r="F29" s="357" t="s">
        <v>319</v>
      </c>
    </row>
    <row r="30" spans="2:6" ht="5.25" customHeight="1">
      <c r="B30" s="137"/>
      <c r="C30" s="138"/>
      <c r="D30" s="139"/>
      <c r="E30" s="139"/>
      <c r="F30" s="139"/>
    </row>
    <row r="31" spans="2:6" ht="12">
      <c r="B31" s="818" t="s">
        <v>330</v>
      </c>
      <c r="C31" s="819"/>
      <c r="D31" s="515">
        <f>+EAI!E54</f>
        <v>0</v>
      </c>
      <c r="E31" s="515">
        <f>+EAI!H54</f>
        <v>0</v>
      </c>
      <c r="F31" s="515">
        <f>+EAI!I54</f>
        <v>0</v>
      </c>
    </row>
    <row r="32" spans="2:6" ht="5.25" customHeight="1">
      <c r="B32" s="128"/>
      <c r="C32" s="345"/>
      <c r="D32" s="513"/>
      <c r="E32" s="513"/>
      <c r="F32" s="513"/>
    </row>
    <row r="33" spans="2:6" ht="12">
      <c r="B33" s="818" t="s">
        <v>331</v>
      </c>
      <c r="C33" s="819"/>
      <c r="D33" s="515">
        <f>COG!D77</f>
        <v>0</v>
      </c>
      <c r="E33" s="515">
        <f>COG!G77</f>
        <v>0</v>
      </c>
      <c r="F33" s="515">
        <f>COG!H77</f>
        <v>0</v>
      </c>
    </row>
    <row r="34" spans="2:6" ht="3.75" customHeight="1" thickBot="1">
      <c r="B34" s="141"/>
      <c r="C34" s="142"/>
      <c r="D34" s="517"/>
      <c r="E34" s="517"/>
      <c r="F34" s="517"/>
    </row>
    <row r="35" spans="2:6" ht="12.75" thickBot="1">
      <c r="B35" s="818" t="s">
        <v>332</v>
      </c>
      <c r="C35" s="819"/>
      <c r="D35" s="516">
        <f>+D31-D33</f>
        <v>0</v>
      </c>
      <c r="E35" s="516">
        <f>+E31-E33</f>
        <v>0</v>
      </c>
      <c r="F35" s="516">
        <f>+F31-F33</f>
        <v>0</v>
      </c>
    </row>
    <row r="36" s="21" customFormat="1" ht="12"/>
    <row r="37" spans="2:6" ht="23.25" customHeight="1">
      <c r="B37" s="21"/>
      <c r="C37" s="821" t="s">
        <v>333</v>
      </c>
      <c r="D37" s="821"/>
      <c r="E37" s="821"/>
      <c r="F37" s="821"/>
    </row>
    <row r="38" spans="2:6" ht="21.75" customHeight="1">
      <c r="B38" s="21"/>
      <c r="C38" s="821" t="s">
        <v>334</v>
      </c>
      <c r="D38" s="821"/>
      <c r="E38" s="821"/>
      <c r="F38" s="821"/>
    </row>
    <row r="39" spans="2:6" ht="12">
      <c r="B39" s="21"/>
      <c r="C39" s="822" t="s">
        <v>335</v>
      </c>
      <c r="D39" s="822"/>
      <c r="E39" s="822"/>
      <c r="F39" s="822"/>
    </row>
    <row r="40" s="21" customFormat="1" ht="12"/>
    <row r="41" spans="2:8" ht="12">
      <c r="B41" s="820" t="s">
        <v>149</v>
      </c>
      <c r="C41" s="820"/>
      <c r="D41" s="820"/>
      <c r="E41" s="820"/>
      <c r="F41" s="820"/>
      <c r="G41" s="820"/>
      <c r="H41" s="820"/>
    </row>
    <row r="42" spans="2:8" ht="12">
      <c r="B42" s="359"/>
      <c r="C42" s="359"/>
      <c r="D42" s="359"/>
      <c r="E42" s="359"/>
      <c r="F42" s="359"/>
      <c r="G42" s="359"/>
      <c r="H42" s="359"/>
    </row>
    <row r="43" spans="2:8" ht="12">
      <c r="B43" s="359"/>
      <c r="C43" s="359"/>
      <c r="D43" s="359"/>
      <c r="E43" s="359"/>
      <c r="F43" s="359"/>
      <c r="G43" s="359"/>
      <c r="H43" s="359"/>
    </row>
    <row r="47" spans="3:6" ht="12">
      <c r="C47" s="1"/>
      <c r="D47" s="1"/>
      <c r="E47" s="1"/>
      <c r="F47" s="1"/>
    </row>
    <row r="48" spans="3:6" ht="12">
      <c r="C48" s="292"/>
      <c r="D48" s="307"/>
      <c r="E48" s="307"/>
      <c r="F48" s="307"/>
    </row>
    <row r="49" spans="3:6" ht="12">
      <c r="C49" s="349" t="str">
        <f>+ENTE!D10</f>
        <v>ING. ENRIQUE DE ECHAVARRI LARY</v>
      </c>
      <c r="D49" s="691" t="str">
        <f>+ENTE!D14</f>
        <v>LIC. RICARDO SALVADOR BACA MUÑOZ</v>
      </c>
      <c r="E49" s="691"/>
      <c r="F49" s="691"/>
    </row>
    <row r="50" spans="3:6" ht="12">
      <c r="C50" s="349" t="str">
        <f>+ENTE!D12</f>
        <v>COORDINADOR GENERAL </v>
      </c>
      <c r="D50" s="692" t="str">
        <f>+ENTE!D16</f>
        <v>DIRECTOR DE ADMINISTRACION</v>
      </c>
      <c r="E50" s="692"/>
      <c r="F50" s="692"/>
    </row>
  </sheetData>
  <sheetProtection selectLockedCells="1"/>
  <mergeCells count="24">
    <mergeCell ref="B31:C31"/>
    <mergeCell ref="B41:H41"/>
    <mergeCell ref="D49:F49"/>
    <mergeCell ref="D50:F50"/>
    <mergeCell ref="B35:C35"/>
    <mergeCell ref="C37:F37"/>
    <mergeCell ref="C38:F38"/>
    <mergeCell ref="C39:F39"/>
    <mergeCell ref="B33:C33"/>
    <mergeCell ref="B5:F5"/>
    <mergeCell ref="B21:C21"/>
    <mergeCell ref="B23:C23"/>
    <mergeCell ref="B2:F2"/>
    <mergeCell ref="B3:F3"/>
    <mergeCell ref="B4:F4"/>
    <mergeCell ref="B6:F6"/>
    <mergeCell ref="C7:F7"/>
    <mergeCell ref="B9:C9"/>
    <mergeCell ref="B25:C25"/>
    <mergeCell ref="B29:C29"/>
    <mergeCell ref="B17:C17"/>
    <mergeCell ref="B12:C12"/>
    <mergeCell ref="B13:C13"/>
    <mergeCell ref="B16:C1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2"/>
  <headerFooter>
    <oddFooter>&amp;C&amp;A&amp;RPágina &amp;P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5"/>
  <sheetViews>
    <sheetView view="pageBreakPreview" zoomScale="106" zoomScaleNormal="10" zoomScaleSheetLayoutView="106" zoomScalePageLayoutView="0" workbookViewId="0" topLeftCell="A1">
      <selection activeCell="E13" sqref="E13"/>
    </sheetView>
  </sheetViews>
  <sheetFormatPr defaultColWidth="11.421875" defaultRowHeight="15"/>
  <cols>
    <col min="1" max="1" width="2.7109375" style="200" customWidth="1"/>
    <col min="2" max="2" width="35.8515625" style="202" customWidth="1"/>
    <col min="3" max="3" width="23.57421875" style="202" customWidth="1"/>
    <col min="4" max="4" width="26.00390625" style="202" bestFit="1" customWidth="1"/>
    <col min="5" max="5" width="19.8515625" style="202" customWidth="1"/>
    <col min="6" max="6" width="22.7109375" style="202" bestFit="1" customWidth="1"/>
    <col min="7" max="7" width="3.140625" style="200" customWidth="1"/>
    <col min="8" max="16384" width="11.421875" style="202" customWidth="1"/>
  </cols>
  <sheetData>
    <row r="1" spans="2:6" ht="12">
      <c r="B1" s="200"/>
      <c r="C1" s="200"/>
      <c r="D1" s="200"/>
      <c r="E1" s="200"/>
      <c r="F1" s="200"/>
    </row>
    <row r="2" spans="2:13" ht="12">
      <c r="B2" s="677"/>
      <c r="C2" s="677"/>
      <c r="D2" s="677"/>
      <c r="E2" s="677"/>
      <c r="F2" s="677"/>
      <c r="G2" s="261"/>
      <c r="H2" s="253"/>
      <c r="I2" s="253"/>
      <c r="J2" s="253"/>
      <c r="K2" s="253"/>
      <c r="L2" s="253"/>
      <c r="M2" s="253"/>
    </row>
    <row r="3" spans="2:6" ht="12">
      <c r="B3" s="827" t="s">
        <v>627</v>
      </c>
      <c r="C3" s="827"/>
      <c r="D3" s="696"/>
      <c r="E3" s="696"/>
      <c r="F3" s="696"/>
    </row>
    <row r="4" spans="2:6" ht="12">
      <c r="B4" s="827" t="str">
        <f>"Del 1 de enero al "&amp;TEXT(INDEX(Periodos,ENTE!D18,1),"dd")&amp;" de "&amp;TEXT(INDEX(Periodos,ENTE!D18,1),"mmmm")&amp;" de "&amp;TEXT(INDEX(Periodos,ENTE!D18,1),"aaaa")&amp;""</f>
        <v>Del 1 de enero al 30 de septiembre de 2017</v>
      </c>
      <c r="C4" s="827"/>
      <c r="D4" s="696"/>
      <c r="E4" s="696"/>
      <c r="F4" s="696"/>
    </row>
    <row r="5" spans="2:6" ht="12">
      <c r="B5" s="828" t="s">
        <v>92</v>
      </c>
      <c r="C5" s="828"/>
      <c r="D5" s="746"/>
      <c r="E5" s="746"/>
      <c r="F5" s="746"/>
    </row>
    <row r="6" spans="2:6" ht="12">
      <c r="B6" s="535"/>
      <c r="C6" s="535"/>
      <c r="D6" s="23"/>
      <c r="E6" s="23"/>
      <c r="F6" s="23"/>
    </row>
    <row r="7" spans="2:6" ht="12">
      <c r="B7" s="353" t="s">
        <v>4</v>
      </c>
      <c r="C7" s="709" t="str">
        <f>ENTE!D8</f>
        <v>UNIDAD DE SERVICIOS PARA LA EDUCACION BASICA EN EL ESTADO DE QUERETARO</v>
      </c>
      <c r="D7" s="709"/>
      <c r="E7" s="709"/>
      <c r="F7" s="709"/>
    </row>
    <row r="8" spans="2:6" ht="12">
      <c r="B8" s="21"/>
      <c r="C8" s="21"/>
      <c r="D8" s="21"/>
      <c r="E8" s="21"/>
      <c r="F8" s="21"/>
    </row>
    <row r="9" spans="1:7" s="207" customFormat="1" ht="12">
      <c r="A9" s="200"/>
      <c r="B9" s="402" t="s">
        <v>392</v>
      </c>
      <c r="C9" s="536"/>
      <c r="D9" s="402" t="s">
        <v>393</v>
      </c>
      <c r="E9" s="357" t="s">
        <v>221</v>
      </c>
      <c r="F9" s="403" t="s">
        <v>394</v>
      </c>
      <c r="G9" s="200"/>
    </row>
    <row r="10" spans="1:7" s="207" customFormat="1" ht="12">
      <c r="A10" s="200"/>
      <c r="B10" s="537"/>
      <c r="C10" s="538"/>
      <c r="D10" s="491"/>
      <c r="E10" s="530"/>
      <c r="F10" s="486"/>
      <c r="G10" s="200"/>
    </row>
    <row r="11" spans="1:7" s="207" customFormat="1" ht="12">
      <c r="A11" s="200"/>
      <c r="B11" s="539" t="s">
        <v>395</v>
      </c>
      <c r="C11" s="538"/>
      <c r="D11" s="482">
        <f>+D12+D13+D14</f>
        <v>7002457993</v>
      </c>
      <c r="E11" s="484">
        <f>+E12+E13+E14</f>
        <v>3866855642.1</v>
      </c>
      <c r="F11" s="485">
        <f>+F12+F13+F14</f>
        <v>759958897.8199999</v>
      </c>
      <c r="G11" s="200"/>
    </row>
    <row r="12" spans="2:6" ht="12">
      <c r="B12" s="491" t="s">
        <v>396</v>
      </c>
      <c r="C12" s="492"/>
      <c r="D12" s="573">
        <f>EAID!D46</f>
        <v>2000000</v>
      </c>
      <c r="E12" s="574">
        <f>EAID!G46</f>
        <v>2160656.06</v>
      </c>
      <c r="F12" s="575">
        <f>EAID!H46</f>
        <v>2160656.06</v>
      </c>
    </row>
    <row r="13" spans="2:6" ht="12" customHeight="1">
      <c r="B13" s="487" t="s">
        <v>397</v>
      </c>
      <c r="C13" s="488"/>
      <c r="D13" s="576">
        <f>EAID!D70</f>
        <v>7000457993</v>
      </c>
      <c r="E13" s="577">
        <f>EAID!G70</f>
        <v>3864694986.04</v>
      </c>
      <c r="F13" s="578">
        <f>EAID!H70</f>
        <v>757798241.76</v>
      </c>
    </row>
    <row r="14" spans="2:6" ht="12">
      <c r="B14" s="540" t="s">
        <v>398</v>
      </c>
      <c r="C14" s="541"/>
      <c r="D14" s="491">
        <f>EAID!D72</f>
        <v>0</v>
      </c>
      <c r="E14" s="506">
        <f>EAID!G72</f>
        <v>0</v>
      </c>
      <c r="F14" s="507">
        <f>EAID!H72</f>
        <v>0</v>
      </c>
    </row>
    <row r="15" spans="2:6" ht="12">
      <c r="B15" s="539" t="s">
        <v>399</v>
      </c>
      <c r="C15" s="538"/>
      <c r="D15" s="489">
        <f>+D16+D17</f>
        <v>7002457993</v>
      </c>
      <c r="E15" s="497">
        <f>+E16+E17</f>
        <v>3843162763.8599987</v>
      </c>
      <c r="F15" s="498">
        <f>+F16+F17</f>
        <v>710862303.7599999</v>
      </c>
    </row>
    <row r="16" spans="2:6" ht="12">
      <c r="B16" s="491" t="s">
        <v>400</v>
      </c>
      <c r="C16" s="492"/>
      <c r="D16" s="579">
        <f>COGCC!D13-COGCC!D79</f>
        <v>2000000</v>
      </c>
      <c r="E16" s="580">
        <f>COGCC!G13-COGCC!G79</f>
        <v>1189329.4300000002</v>
      </c>
      <c r="F16" s="581">
        <f>COGCC!H13-COGCC!H79</f>
        <v>1189329.4300000002</v>
      </c>
    </row>
    <row r="17" spans="2:6" ht="12">
      <c r="B17" s="769" t="s">
        <v>401</v>
      </c>
      <c r="C17" s="770"/>
      <c r="D17" s="579">
        <f>COGCC!D102-COGCC!D168</f>
        <v>7000457993</v>
      </c>
      <c r="E17" s="580">
        <f>COGCC!G102-COGCC!G168</f>
        <v>3841973434.429999</v>
      </c>
      <c r="F17" s="581">
        <f>COGCC!H102-COGCC!H168</f>
        <v>709672974.3299999</v>
      </c>
    </row>
    <row r="18" spans="2:6" ht="12">
      <c r="B18" s="539" t="s">
        <v>402</v>
      </c>
      <c r="C18" s="538"/>
      <c r="D18" s="489">
        <f>+D19+D20</f>
        <v>0</v>
      </c>
      <c r="E18" s="497">
        <f>+E19+E20</f>
        <v>0</v>
      </c>
      <c r="F18" s="498">
        <f>+F19+F20</f>
        <v>0</v>
      </c>
    </row>
    <row r="19" spans="2:6" ht="12">
      <c r="B19" s="220" t="s">
        <v>403</v>
      </c>
      <c r="C19" s="232"/>
      <c r="D19" s="337"/>
      <c r="E19" s="338"/>
      <c r="F19" s="339"/>
    </row>
    <row r="20" spans="2:6" ht="25.5" customHeight="1">
      <c r="B20" s="825" t="s">
        <v>404</v>
      </c>
      <c r="C20" s="826"/>
      <c r="D20" s="331"/>
      <c r="E20" s="332"/>
      <c r="F20" s="336"/>
    </row>
    <row r="21" spans="2:6" ht="12">
      <c r="B21" s="257"/>
      <c r="C21" s="258"/>
      <c r="D21" s="491"/>
      <c r="E21" s="506"/>
      <c r="F21" s="486"/>
    </row>
    <row r="22" spans="2:6" ht="12">
      <c r="B22" s="256" t="s">
        <v>405</v>
      </c>
      <c r="C22" s="263"/>
      <c r="D22" s="489">
        <f>+D11-D15+D18</f>
        <v>0</v>
      </c>
      <c r="E22" s="497">
        <f>+E11-E15+E18</f>
        <v>23692878.2400012</v>
      </c>
      <c r="F22" s="498">
        <f>+F11-F15+F18</f>
        <v>49096594.06000006</v>
      </c>
    </row>
    <row r="23" spans="2:6" ht="12">
      <c r="B23" s="256" t="s">
        <v>406</v>
      </c>
      <c r="C23" s="263"/>
      <c r="D23" s="489">
        <f>+D22-D14</f>
        <v>0</v>
      </c>
      <c r="E23" s="497">
        <f>+E22-E14</f>
        <v>23692878.2400012</v>
      </c>
      <c r="F23" s="498">
        <f>+F22-F14</f>
        <v>49096594.06000006</v>
      </c>
    </row>
    <row r="24" spans="2:6" ht="12">
      <c r="B24" s="256" t="s">
        <v>407</v>
      </c>
      <c r="C24" s="263"/>
      <c r="D24" s="489">
        <f>+D23-D18</f>
        <v>0</v>
      </c>
      <c r="E24" s="497">
        <f>+E23-E18</f>
        <v>23692878.2400012</v>
      </c>
      <c r="F24" s="498">
        <f>+F23-F18</f>
        <v>49096594.06000006</v>
      </c>
    </row>
    <row r="25" spans="2:6" ht="12">
      <c r="B25" s="257"/>
      <c r="C25" s="258"/>
      <c r="D25" s="491"/>
      <c r="E25" s="506"/>
      <c r="F25" s="486"/>
    </row>
    <row r="26" spans="2:6" ht="12">
      <c r="B26" s="244" t="s">
        <v>392</v>
      </c>
      <c r="C26" s="245"/>
      <c r="D26" s="520" t="s">
        <v>393</v>
      </c>
      <c r="E26" s="521" t="s">
        <v>221</v>
      </c>
      <c r="F26" s="522" t="s">
        <v>394</v>
      </c>
    </row>
    <row r="27" spans="2:6" ht="12">
      <c r="B27" s="254"/>
      <c r="C27" s="259"/>
      <c r="D27" s="491"/>
      <c r="E27" s="506"/>
      <c r="F27" s="486"/>
    </row>
    <row r="28" spans="2:6" ht="12">
      <c r="B28" s="256" t="s">
        <v>408</v>
      </c>
      <c r="C28" s="263"/>
      <c r="D28" s="489">
        <f>+D29+D30</f>
        <v>0</v>
      </c>
      <c r="E28" s="497">
        <f>+E29+E30</f>
        <v>0</v>
      </c>
      <c r="F28" s="498">
        <f>+F29+F30</f>
        <v>0</v>
      </c>
    </row>
    <row r="29" spans="2:6" ht="12">
      <c r="B29" s="220" t="s">
        <v>409</v>
      </c>
      <c r="C29" s="232"/>
      <c r="D29" s="491">
        <f>SUM(COGCC!D80:D82)</f>
        <v>0</v>
      </c>
      <c r="E29" s="506">
        <f>SUM(COGCC!G80:G82)</f>
        <v>0</v>
      </c>
      <c r="F29" s="507">
        <f>SUM(COGCC!H80:H82)</f>
        <v>0</v>
      </c>
    </row>
    <row r="30" spans="2:6" ht="12">
      <c r="B30" s="825" t="s">
        <v>410</v>
      </c>
      <c r="C30" s="826"/>
      <c r="D30" s="491">
        <f>SUM(COGCC!D169:D171)</f>
        <v>0</v>
      </c>
      <c r="E30" s="506">
        <f>SUM(COGCC!G169:G171)</f>
        <v>0</v>
      </c>
      <c r="F30" s="507">
        <f>SUM(COGCC!H169:H171)</f>
        <v>0</v>
      </c>
    </row>
    <row r="31" spans="2:6" ht="12">
      <c r="B31" s="257"/>
      <c r="C31" s="258"/>
      <c r="D31" s="491"/>
      <c r="E31" s="506"/>
      <c r="F31" s="507"/>
    </row>
    <row r="32" spans="1:7" s="211" customFormat="1" ht="12">
      <c r="A32" s="210"/>
      <c r="B32" s="348" t="s">
        <v>411</v>
      </c>
      <c r="C32" s="227"/>
      <c r="D32" s="532">
        <f>+D24+D28</f>
        <v>0</v>
      </c>
      <c r="E32" s="533">
        <f>+E24+E28</f>
        <v>23692878.2400012</v>
      </c>
      <c r="F32" s="534">
        <f>+F24+F28</f>
        <v>49096594.06000006</v>
      </c>
      <c r="G32" s="210"/>
    </row>
    <row r="33" spans="2:6" ht="12">
      <c r="B33" s="257"/>
      <c r="C33" s="258"/>
      <c r="D33" s="491"/>
      <c r="E33" s="506"/>
      <c r="F33" s="507"/>
    </row>
    <row r="34" spans="2:6" ht="12">
      <c r="B34" s="244" t="s">
        <v>392</v>
      </c>
      <c r="C34" s="245"/>
      <c r="D34" s="520" t="s">
        <v>393</v>
      </c>
      <c r="E34" s="521" t="s">
        <v>221</v>
      </c>
      <c r="F34" s="522" t="s">
        <v>394</v>
      </c>
    </row>
    <row r="35" spans="2:6" ht="12">
      <c r="B35" s="257"/>
      <c r="C35" s="258"/>
      <c r="D35" s="491"/>
      <c r="E35" s="506"/>
      <c r="F35" s="507"/>
    </row>
    <row r="36" spans="2:6" ht="12">
      <c r="B36" s="256" t="s">
        <v>412</v>
      </c>
      <c r="C36" s="263"/>
      <c r="D36" s="532">
        <f>+D37+D38</f>
        <v>0</v>
      </c>
      <c r="E36" s="533">
        <f>+E37+E38</f>
        <v>0</v>
      </c>
      <c r="F36" s="534">
        <f>+F37+F38</f>
        <v>0</v>
      </c>
    </row>
    <row r="37" spans="2:6" ht="12">
      <c r="B37" s="220" t="s">
        <v>413</v>
      </c>
      <c r="C37" s="232"/>
      <c r="D37" s="340"/>
      <c r="E37" s="341"/>
      <c r="F37" s="339"/>
    </row>
    <row r="38" spans="2:6" ht="24" customHeight="1">
      <c r="B38" s="825" t="s">
        <v>414</v>
      </c>
      <c r="C38" s="826"/>
      <c r="D38" s="331"/>
      <c r="E38" s="332"/>
      <c r="F38" s="336"/>
    </row>
    <row r="39" spans="2:6" ht="12">
      <c r="B39" s="256" t="s">
        <v>415</v>
      </c>
      <c r="C39" s="263"/>
      <c r="D39" s="489">
        <f>+D40+D41</f>
        <v>0</v>
      </c>
      <c r="E39" s="497">
        <f>+E40+E41</f>
        <v>0</v>
      </c>
      <c r="F39" s="498">
        <f>+F40+F41</f>
        <v>0</v>
      </c>
    </row>
    <row r="40" spans="2:6" ht="12">
      <c r="B40" s="220" t="s">
        <v>416</v>
      </c>
      <c r="C40" s="232"/>
      <c r="D40" s="518">
        <f>COGCC!D79</f>
        <v>0</v>
      </c>
      <c r="E40" s="519">
        <f>COGCC!G79</f>
        <v>0</v>
      </c>
      <c r="F40" s="507">
        <f>COGCC!H79</f>
        <v>0</v>
      </c>
    </row>
    <row r="41" spans="2:6" ht="24">
      <c r="B41" s="347" t="s">
        <v>417</v>
      </c>
      <c r="C41" s="222"/>
      <c r="D41" s="491">
        <f>COGCC!D168</f>
        <v>0</v>
      </c>
      <c r="E41" s="506">
        <f>COGCC!G168</f>
        <v>0</v>
      </c>
      <c r="F41" s="486">
        <f>COGCC!H168</f>
        <v>0</v>
      </c>
    </row>
    <row r="42" spans="2:6" ht="12">
      <c r="B42" s="220"/>
      <c r="C42" s="232"/>
      <c r="D42" s="491"/>
      <c r="E42" s="506"/>
      <c r="F42" s="507"/>
    </row>
    <row r="43" spans="2:6" ht="12">
      <c r="B43" s="256" t="s">
        <v>418</v>
      </c>
      <c r="C43" s="263"/>
      <c r="D43" s="489">
        <f>+D36-D39</f>
        <v>0</v>
      </c>
      <c r="E43" s="497">
        <f>+E36-E39</f>
        <v>0</v>
      </c>
      <c r="F43" s="498">
        <f>+F36-F39</f>
        <v>0</v>
      </c>
    </row>
    <row r="44" spans="2:6" ht="12">
      <c r="B44" s="257"/>
      <c r="C44" s="258"/>
      <c r="D44" s="491"/>
      <c r="E44" s="506"/>
      <c r="F44" s="507"/>
    </row>
    <row r="45" spans="2:6" ht="12">
      <c r="B45" s="244" t="s">
        <v>392</v>
      </c>
      <c r="C45" s="245"/>
      <c r="D45" s="520" t="s">
        <v>393</v>
      </c>
      <c r="E45" s="521" t="s">
        <v>221</v>
      </c>
      <c r="F45" s="522" t="s">
        <v>394</v>
      </c>
    </row>
    <row r="46" spans="2:6" ht="12">
      <c r="B46" s="257"/>
      <c r="C46" s="258"/>
      <c r="D46" s="491"/>
      <c r="E46" s="506"/>
      <c r="F46" s="507"/>
    </row>
    <row r="47" spans="1:7" s="207" customFormat="1" ht="12">
      <c r="A47" s="200"/>
      <c r="B47" s="257" t="s">
        <v>419</v>
      </c>
      <c r="C47" s="258"/>
      <c r="D47" s="518">
        <f>D12</f>
        <v>2000000</v>
      </c>
      <c r="E47" s="519">
        <f>E12</f>
        <v>2160656.06</v>
      </c>
      <c r="F47" s="523">
        <f>F12</f>
        <v>2160656.06</v>
      </c>
      <c r="G47" s="200"/>
    </row>
    <row r="48" spans="1:7" s="207" customFormat="1" ht="24.75" customHeight="1">
      <c r="A48" s="200"/>
      <c r="B48" s="823" t="s">
        <v>420</v>
      </c>
      <c r="C48" s="824"/>
      <c r="D48" s="518">
        <f>+D49-D50</f>
        <v>0</v>
      </c>
      <c r="E48" s="519">
        <f>+E49-E50</f>
        <v>0</v>
      </c>
      <c r="F48" s="524">
        <f>+F49-F50</f>
        <v>0</v>
      </c>
      <c r="G48" s="200"/>
    </row>
    <row r="49" spans="1:7" s="207" customFormat="1" ht="12">
      <c r="A49" s="200" t="s">
        <v>421</v>
      </c>
      <c r="B49" s="257" t="s">
        <v>413</v>
      </c>
      <c r="C49" s="258"/>
      <c r="D49" s="518">
        <f>D37</f>
        <v>0</v>
      </c>
      <c r="E49" s="519">
        <f>E37</f>
        <v>0</v>
      </c>
      <c r="F49" s="523">
        <f>F37</f>
        <v>0</v>
      </c>
      <c r="G49" s="200"/>
    </row>
    <row r="50" spans="2:6" ht="12">
      <c r="B50" s="257" t="s">
        <v>416</v>
      </c>
      <c r="C50" s="258"/>
      <c r="D50" s="491">
        <f>D40</f>
        <v>0</v>
      </c>
      <c r="E50" s="519">
        <f>E40</f>
        <v>0</v>
      </c>
      <c r="F50" s="519">
        <f>F40</f>
        <v>0</v>
      </c>
    </row>
    <row r="51" spans="2:6" ht="12">
      <c r="B51" s="257" t="s">
        <v>422</v>
      </c>
      <c r="C51" s="258"/>
      <c r="D51" s="491">
        <f>D16</f>
        <v>2000000</v>
      </c>
      <c r="E51" s="519">
        <f>E16</f>
        <v>1189329.4300000002</v>
      </c>
      <c r="F51" s="519">
        <f>F16</f>
        <v>1189329.4300000002</v>
      </c>
    </row>
    <row r="52" spans="2:6" ht="12">
      <c r="B52" s="257" t="s">
        <v>423</v>
      </c>
      <c r="C52" s="258"/>
      <c r="D52" s="491">
        <f>D19</f>
        <v>0</v>
      </c>
      <c r="E52" s="519">
        <f>E19</f>
        <v>0</v>
      </c>
      <c r="F52" s="519">
        <f>F19</f>
        <v>0</v>
      </c>
    </row>
    <row r="53" spans="2:6" ht="12">
      <c r="B53" s="257"/>
      <c r="C53" s="258"/>
      <c r="D53" s="491"/>
      <c r="E53" s="506"/>
      <c r="F53" s="507"/>
    </row>
    <row r="54" spans="2:6" ht="12">
      <c r="B54" s="256" t="s">
        <v>424</v>
      </c>
      <c r="C54" s="263"/>
      <c r="D54" s="489">
        <f>+D47+D48-D51+D52</f>
        <v>0</v>
      </c>
      <c r="E54" s="497">
        <f>+E47+E48-E51+E52</f>
        <v>971326.6299999999</v>
      </c>
      <c r="F54" s="498">
        <f>+F47+F48-F51+F52</f>
        <v>971326.6299999999</v>
      </c>
    </row>
    <row r="55" spans="2:6" ht="12">
      <c r="B55" s="255" t="s">
        <v>425</v>
      </c>
      <c r="C55" s="262"/>
      <c r="D55" s="501">
        <f>+D54-D48</f>
        <v>0</v>
      </c>
      <c r="E55" s="525">
        <f>+E54-E48</f>
        <v>971326.6299999999</v>
      </c>
      <c r="F55" s="526">
        <f>+F54-F48</f>
        <v>971326.6299999999</v>
      </c>
    </row>
    <row r="56" spans="2:6" ht="12">
      <c r="B56" s="244" t="s">
        <v>392</v>
      </c>
      <c r="C56" s="245"/>
      <c r="D56" s="520" t="s">
        <v>393</v>
      </c>
      <c r="E56" s="521" t="s">
        <v>221</v>
      </c>
      <c r="F56" s="522" t="s">
        <v>394</v>
      </c>
    </row>
    <row r="57" spans="2:6" ht="12">
      <c r="B57" s="266"/>
      <c r="C57" s="267"/>
      <c r="D57" s="527"/>
      <c r="E57" s="528"/>
      <c r="F57" s="529"/>
    </row>
    <row r="58" spans="2:6" ht="12">
      <c r="B58" s="257"/>
      <c r="C58" s="258"/>
      <c r="D58" s="491"/>
      <c r="E58" s="506"/>
      <c r="F58" s="507"/>
    </row>
    <row r="59" spans="2:6" ht="12">
      <c r="B59" s="347" t="s">
        <v>426</v>
      </c>
      <c r="C59" s="222"/>
      <c r="D59" s="491">
        <f>D13</f>
        <v>7000457993</v>
      </c>
      <c r="E59" s="491">
        <f>E13</f>
        <v>3864694986.04</v>
      </c>
      <c r="F59" s="506">
        <f>F13</f>
        <v>757798241.76</v>
      </c>
    </row>
    <row r="60" spans="2:6" ht="25.5" customHeight="1">
      <c r="B60" s="823" t="s">
        <v>427</v>
      </c>
      <c r="C60" s="824"/>
      <c r="D60" s="491">
        <f>D61-D62</f>
        <v>0</v>
      </c>
      <c r="E60" s="491">
        <f>E61-E62</f>
        <v>0</v>
      </c>
      <c r="F60" s="506">
        <f>F61-F62</f>
        <v>0</v>
      </c>
    </row>
    <row r="61" spans="2:6" ht="24.75" customHeight="1">
      <c r="B61" s="823" t="s">
        <v>414</v>
      </c>
      <c r="C61" s="824"/>
      <c r="D61" s="491">
        <f>D38</f>
        <v>0</v>
      </c>
      <c r="E61" s="491">
        <f>E38</f>
        <v>0</v>
      </c>
      <c r="F61" s="519">
        <f>F38</f>
        <v>0</v>
      </c>
    </row>
    <row r="62" spans="2:6" ht="12">
      <c r="B62" s="825" t="s">
        <v>417</v>
      </c>
      <c r="C62" s="826"/>
      <c r="D62" s="518">
        <f>D41</f>
        <v>0</v>
      </c>
      <c r="E62" s="519">
        <f>E41</f>
        <v>0</v>
      </c>
      <c r="F62" s="486">
        <f>F41</f>
        <v>0</v>
      </c>
    </row>
    <row r="63" spans="2:6" ht="12">
      <c r="B63" s="220"/>
      <c r="C63" s="232"/>
      <c r="D63" s="491"/>
      <c r="E63" s="506"/>
      <c r="F63" s="486"/>
    </row>
    <row r="64" spans="2:6" ht="12">
      <c r="B64" s="257" t="s">
        <v>428</v>
      </c>
      <c r="C64" s="258"/>
      <c r="D64" s="491">
        <f>D17</f>
        <v>7000457993</v>
      </c>
      <c r="E64" s="506">
        <f>E17</f>
        <v>3841973434.429999</v>
      </c>
      <c r="F64" s="507">
        <f>F17</f>
        <v>709672974.3299999</v>
      </c>
    </row>
    <row r="65" spans="2:6" ht="12">
      <c r="B65" s="257"/>
      <c r="C65" s="258"/>
      <c r="D65" s="487"/>
      <c r="E65" s="530"/>
      <c r="F65" s="486"/>
    </row>
    <row r="66" spans="2:6" ht="12">
      <c r="B66" s="257" t="s">
        <v>429</v>
      </c>
      <c r="C66" s="258"/>
      <c r="D66" s="491">
        <f>D20</f>
        <v>0</v>
      </c>
      <c r="E66" s="491">
        <f>E20</f>
        <v>0</v>
      </c>
      <c r="F66" s="506">
        <f>F20</f>
        <v>0</v>
      </c>
    </row>
    <row r="67" spans="2:6" ht="12">
      <c r="B67" s="254"/>
      <c r="C67" s="259"/>
      <c r="D67" s="491"/>
      <c r="E67" s="506"/>
      <c r="F67" s="507"/>
    </row>
    <row r="68" spans="2:6" ht="12">
      <c r="B68" s="256" t="s">
        <v>430</v>
      </c>
      <c r="C68" s="263"/>
      <c r="D68" s="489">
        <f>+D59+D60-D64+D66</f>
        <v>0</v>
      </c>
      <c r="E68" s="497">
        <f>+E59+E60-E64+E66</f>
        <v>22721551.610001087</v>
      </c>
      <c r="F68" s="498">
        <f>+F59+F60-F64+F66</f>
        <v>48125267.43000007</v>
      </c>
    </row>
    <row r="69" spans="2:6" ht="12">
      <c r="B69" s="256" t="s">
        <v>431</v>
      </c>
      <c r="C69" s="263"/>
      <c r="D69" s="489">
        <f>+D68-D60</f>
        <v>0</v>
      </c>
      <c r="E69" s="497">
        <f>+E68-E60</f>
        <v>22721551.610001087</v>
      </c>
      <c r="F69" s="498">
        <f>+F68-F60</f>
        <v>48125267.43000007</v>
      </c>
    </row>
    <row r="70" spans="2:6" ht="12">
      <c r="B70" s="242"/>
      <c r="C70" s="243"/>
      <c r="D70" s="503"/>
      <c r="E70" s="504"/>
      <c r="F70" s="531"/>
    </row>
    <row r="71" spans="2:8" ht="12">
      <c r="B71" s="693" t="s">
        <v>149</v>
      </c>
      <c r="C71" s="693"/>
      <c r="D71" s="693"/>
      <c r="E71" s="693"/>
      <c r="F71" s="693"/>
      <c r="G71" s="693"/>
      <c r="H71" s="693"/>
    </row>
    <row r="72" spans="2:8" ht="12">
      <c r="B72" s="693"/>
      <c r="C72" s="693"/>
      <c r="D72" s="693"/>
      <c r="E72" s="693"/>
      <c r="F72" s="693"/>
      <c r="G72" s="693"/>
      <c r="H72" s="693"/>
    </row>
    <row r="73" spans="2:8" ht="12">
      <c r="B73" s="693"/>
      <c r="C73" s="693"/>
      <c r="D73" s="693"/>
      <c r="E73" s="693"/>
      <c r="F73" s="693"/>
      <c r="G73" s="693"/>
      <c r="H73" s="693"/>
    </row>
    <row r="74" spans="2:6" ht="12">
      <c r="B74" s="213"/>
      <c r="C74" s="213"/>
      <c r="D74" s="201"/>
      <c r="E74" s="201"/>
      <c r="F74" s="213"/>
    </row>
    <row r="75" spans="2:6" ht="12">
      <c r="B75" s="213"/>
      <c r="C75" s="213"/>
      <c r="D75" s="201"/>
      <c r="E75" s="201"/>
      <c r="F75" s="213"/>
    </row>
    <row r="76" spans="2:6" ht="12">
      <c r="B76" s="264"/>
      <c r="C76" s="264"/>
      <c r="D76" s="260"/>
      <c r="E76" s="260"/>
      <c r="F76" s="214"/>
    </row>
    <row r="77" spans="2:6" ht="12">
      <c r="B77" s="279"/>
      <c r="C77" s="279"/>
      <c r="D77" s="203"/>
      <c r="E77" s="203"/>
      <c r="F77" s="279"/>
    </row>
    <row r="78" spans="2:6" ht="12">
      <c r="B78" s="829"/>
      <c r="C78" s="829"/>
      <c r="D78" s="203"/>
      <c r="E78" s="203"/>
      <c r="F78" s="203"/>
    </row>
    <row r="79" spans="2:6" ht="12">
      <c r="B79" s="830" t="str">
        <f>+ENTE!D10</f>
        <v>ING. ENRIQUE DE ECHAVARRI LARY</v>
      </c>
      <c r="C79" s="830"/>
      <c r="D79" s="696" t="str">
        <f>+ENTE!D14</f>
        <v>LIC. RICARDO SALVADOR BACA MUÑOZ</v>
      </c>
      <c r="E79" s="696"/>
      <c r="F79" s="696"/>
    </row>
    <row r="80" spans="2:6" ht="12">
      <c r="B80" s="830" t="str">
        <f>+ENTE!D12</f>
        <v>COORDINADOR GENERAL </v>
      </c>
      <c r="C80" s="830"/>
      <c r="D80" s="696" t="str">
        <f>+ENTE!D16</f>
        <v>DIRECTOR DE ADMINISTRACION</v>
      </c>
      <c r="E80" s="696"/>
      <c r="F80" s="696"/>
    </row>
    <row r="81" spans="2:6" ht="12">
      <c r="B81" s="279"/>
      <c r="C81" s="279"/>
      <c r="D81" s="203"/>
      <c r="E81" s="203"/>
      <c r="F81" s="203"/>
    </row>
    <row r="82" spans="2:6" ht="12">
      <c r="B82" s="214"/>
      <c r="C82" s="214"/>
      <c r="D82" s="214"/>
      <c r="E82" s="214"/>
      <c r="F82" s="213"/>
    </row>
    <row r="83" spans="2:6" ht="12">
      <c r="B83" s="260"/>
      <c r="C83" s="260"/>
      <c r="D83" s="201"/>
      <c r="E83" s="201"/>
      <c r="F83" s="214"/>
    </row>
    <row r="84" spans="2:6" ht="12">
      <c r="B84" s="213"/>
      <c r="C84" s="213"/>
      <c r="D84" s="201"/>
      <c r="E84" s="201"/>
      <c r="F84" s="214"/>
    </row>
    <row r="85" spans="2:6" ht="12">
      <c r="B85" s="213"/>
      <c r="C85" s="213"/>
      <c r="D85" s="201"/>
      <c r="E85" s="201"/>
      <c r="F85" s="201"/>
    </row>
    <row r="86" spans="2:6" ht="12">
      <c r="B86" s="213"/>
      <c r="C86" s="213"/>
      <c r="D86" s="201"/>
      <c r="E86" s="201"/>
      <c r="F86" s="201"/>
    </row>
    <row r="87" spans="2:6" ht="12">
      <c r="B87" s="213"/>
      <c r="C87" s="213"/>
      <c r="D87" s="201"/>
      <c r="E87" s="201"/>
      <c r="F87" s="201"/>
    </row>
    <row r="88" spans="2:6" ht="12">
      <c r="B88" s="214"/>
      <c r="C88" s="214"/>
      <c r="D88" s="260"/>
      <c r="E88" s="260"/>
      <c r="F88" s="260"/>
    </row>
    <row r="89" spans="2:6" ht="12">
      <c r="B89" s="213"/>
      <c r="C89" s="213"/>
      <c r="D89" s="201"/>
      <c r="E89" s="201"/>
      <c r="F89" s="213"/>
    </row>
    <row r="90" spans="2:6" ht="12">
      <c r="B90" s="213"/>
      <c r="C90" s="213"/>
      <c r="D90" s="201"/>
      <c r="E90" s="201"/>
      <c r="F90" s="201"/>
    </row>
    <row r="91" spans="2:6" ht="12">
      <c r="B91" s="213"/>
      <c r="C91" s="213"/>
      <c r="D91" s="201"/>
      <c r="E91" s="201"/>
      <c r="F91" s="201"/>
    </row>
    <row r="92" spans="2:6" ht="12">
      <c r="B92" s="213"/>
      <c r="C92" s="213"/>
      <c r="D92" s="201"/>
      <c r="E92" s="201"/>
      <c r="F92" s="201"/>
    </row>
    <row r="93" spans="2:6" ht="12">
      <c r="B93" s="213"/>
      <c r="C93" s="213"/>
      <c r="D93" s="201"/>
      <c r="E93" s="201"/>
      <c r="F93" s="213"/>
    </row>
    <row r="94" spans="2:6" ht="12">
      <c r="B94" s="214"/>
      <c r="C94" s="214"/>
      <c r="D94" s="260"/>
      <c r="E94" s="260"/>
      <c r="F94" s="201"/>
    </row>
    <row r="95" spans="2:6" ht="12">
      <c r="B95" s="214"/>
      <c r="C95" s="214"/>
      <c r="D95" s="260"/>
      <c r="E95" s="260"/>
      <c r="F95" s="264"/>
    </row>
    <row r="96" spans="2:6" ht="12">
      <c r="B96" s="213"/>
      <c r="C96" s="213"/>
      <c r="D96" s="201"/>
      <c r="E96" s="201"/>
      <c r="F96" s="201"/>
    </row>
    <row r="97" spans="2:6" ht="12">
      <c r="B97" s="213"/>
      <c r="C97" s="213"/>
      <c r="D97" s="201"/>
      <c r="E97" s="201"/>
      <c r="F97" s="201"/>
    </row>
    <row r="98" spans="2:6" ht="12">
      <c r="B98" s="213"/>
      <c r="C98" s="213"/>
      <c r="D98" s="201"/>
      <c r="E98" s="201"/>
      <c r="F98" s="201"/>
    </row>
    <row r="99" spans="2:6" ht="12">
      <c r="B99" s="213"/>
      <c r="C99" s="213"/>
      <c r="D99" s="201"/>
      <c r="E99" s="201"/>
      <c r="F99" s="201"/>
    </row>
    <row r="100" spans="2:6" ht="12">
      <c r="B100" s="213"/>
      <c r="C100" s="213"/>
      <c r="D100" s="201"/>
      <c r="E100" s="201"/>
      <c r="F100" s="201"/>
    </row>
    <row r="101" spans="2:6" ht="12">
      <c r="B101" s="213"/>
      <c r="C101" s="213"/>
      <c r="D101" s="201"/>
      <c r="E101" s="201"/>
      <c r="F101" s="201"/>
    </row>
    <row r="102" spans="2:6" ht="12">
      <c r="B102" s="213"/>
      <c r="C102" s="213"/>
      <c r="D102" s="201"/>
      <c r="E102" s="201"/>
      <c r="F102" s="201"/>
    </row>
    <row r="103" spans="2:6" ht="12">
      <c r="B103" s="213"/>
      <c r="C103" s="213"/>
      <c r="D103" s="201"/>
      <c r="E103" s="201"/>
      <c r="F103" s="201"/>
    </row>
    <row r="104" spans="2:6" ht="12">
      <c r="B104" s="213"/>
      <c r="C104" s="213"/>
      <c r="D104" s="201"/>
      <c r="E104" s="201"/>
      <c r="F104" s="201"/>
    </row>
    <row r="105" spans="2:6" ht="12">
      <c r="B105" s="213"/>
      <c r="C105" s="213"/>
      <c r="D105" s="201"/>
      <c r="E105" s="201"/>
      <c r="F105" s="201"/>
    </row>
    <row r="106" spans="2:6" ht="12">
      <c r="B106" s="213"/>
      <c r="C106" s="213"/>
      <c r="D106" s="201"/>
      <c r="E106" s="201"/>
      <c r="F106" s="201"/>
    </row>
    <row r="107" spans="2:6" ht="12">
      <c r="B107" s="213"/>
      <c r="C107" s="213"/>
      <c r="D107" s="201"/>
      <c r="E107" s="201"/>
      <c r="F107" s="201"/>
    </row>
    <row r="108" spans="2:6" ht="12">
      <c r="B108" s="214"/>
      <c r="C108" s="214"/>
      <c r="D108" s="260"/>
      <c r="E108" s="260"/>
      <c r="F108" s="201"/>
    </row>
    <row r="109" spans="2:6" ht="12">
      <c r="B109" s="214"/>
      <c r="C109" s="214"/>
      <c r="D109" s="260"/>
      <c r="E109" s="260"/>
      <c r="F109" s="201"/>
    </row>
    <row r="110" spans="2:6" ht="12">
      <c r="B110" s="213"/>
      <c r="C110" s="213"/>
      <c r="D110" s="201"/>
      <c r="E110" s="201"/>
      <c r="F110" s="214"/>
    </row>
    <row r="111" spans="2:6" ht="12">
      <c r="B111" s="213"/>
      <c r="C111" s="213"/>
      <c r="D111" s="201"/>
      <c r="E111" s="201"/>
      <c r="F111" s="214"/>
    </row>
    <row r="112" spans="2:6" ht="12">
      <c r="B112" s="213"/>
      <c r="C112" s="213"/>
      <c r="D112" s="201"/>
      <c r="E112" s="201"/>
      <c r="F112" s="214"/>
    </row>
    <row r="113" spans="2:6" ht="12">
      <c r="B113" s="213"/>
      <c r="C113" s="213"/>
      <c r="D113" s="201"/>
      <c r="E113" s="201"/>
      <c r="F113" s="214"/>
    </row>
    <row r="114" spans="2:6" ht="12">
      <c r="B114" s="213"/>
      <c r="C114" s="213"/>
      <c r="D114" s="201"/>
      <c r="E114" s="201"/>
      <c r="F114" s="201"/>
    </row>
    <row r="115" spans="2:6" ht="12">
      <c r="B115" s="213"/>
      <c r="C115" s="213"/>
      <c r="D115" s="201"/>
      <c r="E115" s="201"/>
      <c r="F115" s="201"/>
    </row>
    <row r="116" spans="2:6" ht="12">
      <c r="B116" s="213"/>
      <c r="C116" s="213"/>
      <c r="D116" s="201"/>
      <c r="E116" s="201"/>
      <c r="F116" s="201"/>
    </row>
    <row r="117" spans="2:6" ht="12">
      <c r="B117" s="213"/>
      <c r="C117" s="213"/>
      <c r="D117" s="201"/>
      <c r="E117" s="201"/>
      <c r="F117" s="201"/>
    </row>
    <row r="118" spans="2:6" ht="12">
      <c r="B118" s="213"/>
      <c r="C118" s="213"/>
      <c r="D118" s="201"/>
      <c r="E118" s="201"/>
      <c r="F118" s="201"/>
    </row>
    <row r="119" spans="2:6" ht="12">
      <c r="B119" s="213"/>
      <c r="C119" s="213"/>
      <c r="D119" s="201"/>
      <c r="E119" s="201"/>
      <c r="F119" s="201"/>
    </row>
    <row r="120" spans="2:6" ht="12">
      <c r="B120" s="213"/>
      <c r="C120" s="213"/>
      <c r="D120" s="201"/>
      <c r="E120" s="201"/>
      <c r="F120" s="201"/>
    </row>
    <row r="121" spans="2:6" ht="12">
      <c r="B121" s="213"/>
      <c r="C121" s="213"/>
      <c r="D121" s="201"/>
      <c r="E121" s="201"/>
      <c r="F121" s="201"/>
    </row>
    <row r="122" spans="2:6" ht="12">
      <c r="B122" s="213"/>
      <c r="C122" s="213"/>
      <c r="D122" s="201"/>
      <c r="E122" s="201"/>
      <c r="F122" s="201"/>
    </row>
    <row r="123" spans="2:6" ht="12">
      <c r="B123" s="213"/>
      <c r="C123" s="213"/>
      <c r="D123" s="201"/>
      <c r="E123" s="201"/>
      <c r="F123" s="201"/>
    </row>
    <row r="124" spans="2:3" ht="12">
      <c r="B124" s="211"/>
      <c r="C124" s="211"/>
    </row>
    <row r="125" spans="2:3" ht="12">
      <c r="B125" s="211"/>
      <c r="C125" s="211"/>
    </row>
  </sheetData>
  <sheetProtection selectLockedCells="1"/>
  <mergeCells count="21">
    <mergeCell ref="B73:H73"/>
    <mergeCell ref="B78:C78"/>
    <mergeCell ref="B79:C79"/>
    <mergeCell ref="B80:C80"/>
    <mergeCell ref="D80:F80"/>
    <mergeCell ref="D79:F79"/>
    <mergeCell ref="B2:F2"/>
    <mergeCell ref="B3:F3"/>
    <mergeCell ref="B4:F4"/>
    <mergeCell ref="B5:F5"/>
    <mergeCell ref="C7:F7"/>
    <mergeCell ref="B30:C30"/>
    <mergeCell ref="B17:C17"/>
    <mergeCell ref="B71:H71"/>
    <mergeCell ref="B61:C61"/>
    <mergeCell ref="B62:C62"/>
    <mergeCell ref="B48:C48"/>
    <mergeCell ref="B20:C20"/>
    <mergeCell ref="B72:H72"/>
    <mergeCell ref="B38:C38"/>
    <mergeCell ref="B60:C60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72" r:id="rId2"/>
  <headerFooter>
    <oddFooter>&amp;C&amp;A
&amp;RPágina &amp;P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view="pageBreakPreview" zoomScale="98" zoomScaleNormal="70" zoomScaleSheetLayoutView="98" zoomScalePageLayoutView="0" workbookViewId="0" topLeftCell="A1">
      <selection activeCell="H15" sqref="H15"/>
    </sheetView>
  </sheetViews>
  <sheetFormatPr defaultColWidth="11.421875" defaultRowHeight="15"/>
  <cols>
    <col min="1" max="1" width="3.140625" style="200" customWidth="1"/>
    <col min="2" max="2" width="19.8515625" style="202" customWidth="1"/>
    <col min="3" max="3" width="28.421875" style="202" customWidth="1"/>
    <col min="4" max="9" width="18.421875" style="202" customWidth="1"/>
    <col min="10" max="10" width="1.57421875" style="200" customWidth="1"/>
    <col min="11" max="16384" width="11.421875" style="202" customWidth="1"/>
  </cols>
  <sheetData>
    <row r="1" spans="2:9" ht="12">
      <c r="B1" s="201"/>
      <c r="C1" s="201"/>
      <c r="D1" s="201"/>
      <c r="E1" s="201"/>
      <c r="F1" s="201"/>
      <c r="G1" s="201"/>
      <c r="H1" s="201"/>
      <c r="I1" s="201"/>
    </row>
    <row r="2" spans="2:9" ht="12">
      <c r="B2" s="677"/>
      <c r="C2" s="677"/>
      <c r="D2" s="677"/>
      <c r="E2" s="677"/>
      <c r="F2" s="677"/>
      <c r="G2" s="677"/>
      <c r="H2" s="677"/>
      <c r="I2" s="677"/>
    </row>
    <row r="3" spans="2:9" ht="12">
      <c r="B3" s="696" t="s">
        <v>629</v>
      </c>
      <c r="C3" s="696"/>
      <c r="D3" s="696"/>
      <c r="E3" s="696"/>
      <c r="F3" s="696"/>
      <c r="G3" s="696"/>
      <c r="H3" s="696"/>
      <c r="I3" s="696"/>
    </row>
    <row r="4" spans="2:9" ht="12">
      <c r="B4" s="696" t="s">
        <v>633</v>
      </c>
      <c r="C4" s="696"/>
      <c r="D4" s="696"/>
      <c r="E4" s="696"/>
      <c r="F4" s="696"/>
      <c r="G4" s="696"/>
      <c r="H4" s="696"/>
      <c r="I4" s="696"/>
    </row>
    <row r="5" spans="2:9" ht="12">
      <c r="B5" s="696" t="str">
        <f>"Del 1 de enero al "&amp;TEXT(INDEX(Periodos,ENTE!D18,1),"dd")&amp;" de "&amp;TEXT(INDEX(Periodos,ENTE!D18,1),"mmmm")&amp;" de "&amp;TEXT(INDEX(Periodos,ENTE!D18,1),"aaaa")&amp;""</f>
        <v>Del 1 de enero al 30 de septiembre de 2017</v>
      </c>
      <c r="C5" s="696"/>
      <c r="D5" s="696"/>
      <c r="E5" s="696"/>
      <c r="F5" s="696"/>
      <c r="G5" s="696"/>
      <c r="H5" s="696"/>
      <c r="I5" s="696"/>
    </row>
    <row r="6" spans="2:9" ht="12">
      <c r="B6" s="696" t="s">
        <v>92</v>
      </c>
      <c r="C6" s="696"/>
      <c r="D6" s="696"/>
      <c r="E6" s="696"/>
      <c r="F6" s="696"/>
      <c r="G6" s="696"/>
      <c r="H6" s="696"/>
      <c r="I6" s="696"/>
    </row>
    <row r="7" spans="2:9" ht="12">
      <c r="B7" s="241"/>
      <c r="C7" s="241"/>
      <c r="D7" s="241"/>
      <c r="E7" s="241"/>
      <c r="F7" s="241"/>
      <c r="G7" s="241"/>
      <c r="H7" s="241"/>
      <c r="I7" s="241"/>
    </row>
    <row r="8" spans="2:9" ht="12">
      <c r="B8" s="280"/>
      <c r="C8" s="280" t="s">
        <v>4</v>
      </c>
      <c r="D8" s="709" t="str">
        <f>+ENTE!D8</f>
        <v>UNIDAD DE SERVICIOS PARA LA EDUCACION BASICA EN EL ESTADO DE QUERETARO</v>
      </c>
      <c r="E8" s="709"/>
      <c r="F8" s="709"/>
      <c r="G8" s="709"/>
      <c r="H8" s="709"/>
      <c r="I8" s="709"/>
    </row>
    <row r="9" spans="2:9" ht="12">
      <c r="B9" s="203"/>
      <c r="C9" s="203"/>
      <c r="D9" s="203"/>
      <c r="E9" s="203"/>
      <c r="F9" s="203"/>
      <c r="G9" s="203"/>
      <c r="H9" s="203"/>
      <c r="I9" s="203"/>
    </row>
    <row r="10" spans="2:9" ht="12">
      <c r="B10" s="705" t="s">
        <v>392</v>
      </c>
      <c r="C10" s="706"/>
      <c r="D10" s="720" t="s">
        <v>493</v>
      </c>
      <c r="E10" s="720"/>
      <c r="F10" s="720"/>
      <c r="G10" s="720"/>
      <c r="H10" s="720"/>
      <c r="I10" s="720" t="s">
        <v>635</v>
      </c>
    </row>
    <row r="11" spans="2:9" ht="50.25" customHeight="1">
      <c r="B11" s="707"/>
      <c r="C11" s="708"/>
      <c r="D11" s="215" t="s">
        <v>494</v>
      </c>
      <c r="E11" s="215" t="s">
        <v>244</v>
      </c>
      <c r="F11" s="215" t="s">
        <v>220</v>
      </c>
      <c r="G11" s="215" t="s">
        <v>221</v>
      </c>
      <c r="H11" s="215" t="s">
        <v>245</v>
      </c>
      <c r="I11" s="720"/>
    </row>
    <row r="12" spans="2:9" ht="12">
      <c r="B12" s="216"/>
      <c r="C12" s="201"/>
      <c r="D12" s="542"/>
      <c r="E12" s="543"/>
      <c r="F12" s="544"/>
      <c r="G12" s="542"/>
      <c r="H12" s="543"/>
      <c r="I12" s="545"/>
    </row>
    <row r="13" spans="1:10" s="207" customFormat="1" ht="12.75" customHeight="1">
      <c r="A13" s="200"/>
      <c r="B13" s="205"/>
      <c r="C13" s="279"/>
      <c r="D13" s="491"/>
      <c r="E13" s="530"/>
      <c r="F13" s="488"/>
      <c r="G13" s="487"/>
      <c r="H13" s="530"/>
      <c r="I13" s="507"/>
      <c r="J13" s="200"/>
    </row>
    <row r="14" spans="2:9" ht="12">
      <c r="B14" s="699" t="s">
        <v>614</v>
      </c>
      <c r="C14" s="700"/>
      <c r="D14" s="482">
        <f>+D15+D16+D17+D20+D21+D24</f>
        <v>1000000</v>
      </c>
      <c r="E14" s="484">
        <f>+E15+E16+E17+E20+E21+E24</f>
        <v>78167.82</v>
      </c>
      <c r="F14" s="483">
        <f>+F15+F16+F17+F20+F21+F24</f>
        <v>1078167.82</v>
      </c>
      <c r="G14" s="482">
        <f>+G15+G16+G17+G20+G21+G24</f>
        <v>0</v>
      </c>
      <c r="H14" s="484">
        <f>+H15+H16+H17+H20+H21+H24</f>
        <v>810059.6700000002</v>
      </c>
      <c r="I14" s="485">
        <f>+F14-G14</f>
        <v>1078167.82</v>
      </c>
    </row>
    <row r="15" spans="2:9" ht="12">
      <c r="B15" s="209" t="s">
        <v>615</v>
      </c>
      <c r="C15" s="213"/>
      <c r="D15" s="331">
        <v>1000000</v>
      </c>
      <c r="E15" s="332">
        <v>78167.82</v>
      </c>
      <c r="F15" s="333">
        <f>+D15+E15</f>
        <v>1078167.82</v>
      </c>
      <c r="G15" s="331"/>
      <c r="H15" s="332">
        <v>810059.6700000002</v>
      </c>
      <c r="I15" s="507">
        <f>+F15-G15</f>
        <v>1078167.82</v>
      </c>
    </row>
    <row r="16" spans="2:9" ht="12">
      <c r="B16" s="209" t="s">
        <v>616</v>
      </c>
      <c r="C16" s="213"/>
      <c r="D16" s="331"/>
      <c r="E16" s="332"/>
      <c r="F16" s="333"/>
      <c r="G16" s="331"/>
      <c r="H16" s="332"/>
      <c r="I16" s="507">
        <f aca="true" t="shared" si="0" ref="I16:I24">+F16-G16</f>
        <v>0</v>
      </c>
    </row>
    <row r="17" spans="2:9" ht="12">
      <c r="B17" s="209" t="s">
        <v>617</v>
      </c>
      <c r="C17" s="213"/>
      <c r="D17" s="491">
        <f>+D18+D19</f>
        <v>0</v>
      </c>
      <c r="E17" s="506">
        <f>+E18+E19</f>
        <v>0</v>
      </c>
      <c r="F17" s="492">
        <f>+F18+F19</f>
        <v>0</v>
      </c>
      <c r="G17" s="491">
        <f>+G18+G19</f>
        <v>0</v>
      </c>
      <c r="H17" s="506">
        <f>+H18+H19</f>
        <v>0</v>
      </c>
      <c r="I17" s="507">
        <f t="shared" si="0"/>
        <v>0</v>
      </c>
    </row>
    <row r="18" spans="2:9" ht="12">
      <c r="B18" s="209" t="s">
        <v>618</v>
      </c>
      <c r="C18" s="213"/>
      <c r="D18" s="331"/>
      <c r="E18" s="332"/>
      <c r="F18" s="333"/>
      <c r="G18" s="331"/>
      <c r="H18" s="332"/>
      <c r="I18" s="507">
        <f t="shared" si="0"/>
        <v>0</v>
      </c>
    </row>
    <row r="19" spans="2:9" ht="12">
      <c r="B19" s="209" t="s">
        <v>619</v>
      </c>
      <c r="C19" s="213"/>
      <c r="D19" s="331"/>
      <c r="E19" s="332"/>
      <c r="F19" s="333"/>
      <c r="G19" s="331"/>
      <c r="H19" s="332"/>
      <c r="I19" s="507">
        <f t="shared" si="0"/>
        <v>0</v>
      </c>
    </row>
    <row r="20" spans="2:9" ht="12">
      <c r="B20" s="209" t="s">
        <v>620</v>
      </c>
      <c r="C20" s="213"/>
      <c r="D20" s="331"/>
      <c r="E20" s="332"/>
      <c r="F20" s="333"/>
      <c r="G20" s="331"/>
      <c r="H20" s="332"/>
      <c r="I20" s="507">
        <f t="shared" si="0"/>
        <v>0</v>
      </c>
    </row>
    <row r="21" spans="2:9" ht="25.5" customHeight="1">
      <c r="B21" s="831" t="s">
        <v>621</v>
      </c>
      <c r="C21" s="832"/>
      <c r="D21" s="491">
        <f>+D22+D23</f>
        <v>0</v>
      </c>
      <c r="E21" s="506">
        <f>+E22+E23</f>
        <v>0</v>
      </c>
      <c r="F21" s="492">
        <f>+F22+F23</f>
        <v>0</v>
      </c>
      <c r="G21" s="491">
        <f>+G22+G23</f>
        <v>0</v>
      </c>
      <c r="H21" s="506">
        <f>+H22+H23</f>
        <v>0</v>
      </c>
      <c r="I21" s="507">
        <f t="shared" si="0"/>
        <v>0</v>
      </c>
    </row>
    <row r="22" spans="2:9" ht="12">
      <c r="B22" s="209" t="s">
        <v>622</v>
      </c>
      <c r="C22" s="213"/>
      <c r="D22" s="331"/>
      <c r="E22" s="332"/>
      <c r="F22" s="333"/>
      <c r="G22" s="331"/>
      <c r="H22" s="332"/>
      <c r="I22" s="507">
        <f t="shared" si="0"/>
        <v>0</v>
      </c>
    </row>
    <row r="23" spans="2:9" ht="12">
      <c r="B23" s="209" t="s">
        <v>623</v>
      </c>
      <c r="C23" s="213"/>
      <c r="D23" s="331"/>
      <c r="E23" s="332"/>
      <c r="F23" s="333"/>
      <c r="G23" s="331"/>
      <c r="H23" s="332"/>
      <c r="I23" s="507">
        <f t="shared" si="0"/>
        <v>0</v>
      </c>
    </row>
    <row r="24" spans="2:9" ht="12">
      <c r="B24" s="209" t="s">
        <v>624</v>
      </c>
      <c r="C24" s="213"/>
      <c r="D24" s="331"/>
      <c r="E24" s="332"/>
      <c r="F24" s="333"/>
      <c r="G24" s="331"/>
      <c r="H24" s="332"/>
      <c r="I24" s="507">
        <f t="shared" si="0"/>
        <v>0</v>
      </c>
    </row>
    <row r="25" spans="2:9" ht="12">
      <c r="B25" s="209"/>
      <c r="C25" s="213"/>
      <c r="D25" s="330"/>
      <c r="E25" s="334"/>
      <c r="F25" s="335"/>
      <c r="G25" s="330"/>
      <c r="H25" s="334"/>
      <c r="I25" s="507"/>
    </row>
    <row r="26" spans="2:9" ht="12">
      <c r="B26" s="699" t="s">
        <v>625</v>
      </c>
      <c r="C26" s="700"/>
      <c r="D26" s="482">
        <f>+D27+D28+D29+D32+D33+D36</f>
        <v>6558454396</v>
      </c>
      <c r="E26" s="484">
        <f>+E27+E28+E29+E32+E33+E36</f>
        <v>-90264540.71000001</v>
      </c>
      <c r="F26" s="483">
        <f>+F27+F28+F29+F32+F33+F36</f>
        <v>6468189855.276</v>
      </c>
      <c r="G26" s="482">
        <f>+G27+G28+G29+G32+G33+G36</f>
        <v>3111363512.406993</v>
      </c>
      <c r="H26" s="484">
        <f>+H27+H28+H29+H32+H33+H36</f>
        <v>255634209.6</v>
      </c>
      <c r="I26" s="485">
        <f>+F26-G26</f>
        <v>3356826342.869007</v>
      </c>
    </row>
    <row r="27" spans="2:9" ht="12">
      <c r="B27" s="209" t="s">
        <v>615</v>
      </c>
      <c r="C27" s="213"/>
      <c r="D27" s="331">
        <v>1967536318.8</v>
      </c>
      <c r="E27" s="332">
        <v>-27079362.21</v>
      </c>
      <c r="F27" s="333">
        <v>1940456956.58</v>
      </c>
      <c r="G27" s="331">
        <v>933409053.72</v>
      </c>
      <c r="H27" s="332">
        <v>76690262.88</v>
      </c>
      <c r="I27" s="507">
        <f aca="true" t="shared" si="1" ref="I27:I36">+F27-G27</f>
        <v>1007047902.8599999</v>
      </c>
    </row>
    <row r="28" spans="2:9" ht="12">
      <c r="B28" s="209" t="s">
        <v>616</v>
      </c>
      <c r="C28" s="213"/>
      <c r="D28" s="331">
        <v>4590918077.2</v>
      </c>
      <c r="E28" s="332">
        <v>-63185178.5</v>
      </c>
      <c r="F28" s="333">
        <v>4527732898.696</v>
      </c>
      <c r="G28" s="331">
        <v>2177954458.6869926</v>
      </c>
      <c r="H28" s="332">
        <v>178943946.72</v>
      </c>
      <c r="I28" s="507">
        <f t="shared" si="1"/>
        <v>2349778440.0090075</v>
      </c>
    </row>
    <row r="29" spans="2:9" ht="12">
      <c r="B29" s="209" t="s">
        <v>617</v>
      </c>
      <c r="C29" s="213"/>
      <c r="D29" s="491">
        <f>+D30+D31</f>
        <v>0</v>
      </c>
      <c r="E29" s="506">
        <f>+E30+E31</f>
        <v>0</v>
      </c>
      <c r="F29" s="492">
        <f>+F30+F31</f>
        <v>0</v>
      </c>
      <c r="G29" s="491">
        <f>+G30+G31</f>
        <v>0</v>
      </c>
      <c r="H29" s="506">
        <f>+H30+H31</f>
        <v>0</v>
      </c>
      <c r="I29" s="507">
        <f t="shared" si="1"/>
        <v>0</v>
      </c>
    </row>
    <row r="30" spans="2:9" ht="12">
      <c r="B30" s="209" t="s">
        <v>618</v>
      </c>
      <c r="C30" s="213"/>
      <c r="D30" s="331"/>
      <c r="E30" s="332"/>
      <c r="F30" s="333"/>
      <c r="G30" s="331"/>
      <c r="H30" s="332"/>
      <c r="I30" s="507">
        <f t="shared" si="1"/>
        <v>0</v>
      </c>
    </row>
    <row r="31" spans="2:9" ht="12">
      <c r="B31" s="209" t="s">
        <v>619</v>
      </c>
      <c r="C31" s="213"/>
      <c r="D31" s="331"/>
      <c r="E31" s="332"/>
      <c r="F31" s="333"/>
      <c r="G31" s="331"/>
      <c r="H31" s="332"/>
      <c r="I31" s="507">
        <f t="shared" si="1"/>
        <v>0</v>
      </c>
    </row>
    <row r="32" spans="2:9" ht="12">
      <c r="B32" s="209" t="s">
        <v>620</v>
      </c>
      <c r="C32" s="213"/>
      <c r="D32" s="331"/>
      <c r="E32" s="332"/>
      <c r="F32" s="333"/>
      <c r="G32" s="331"/>
      <c r="H32" s="332"/>
      <c r="I32" s="507">
        <f t="shared" si="1"/>
        <v>0</v>
      </c>
    </row>
    <row r="33" spans="2:9" ht="24" customHeight="1">
      <c r="B33" s="831" t="s">
        <v>621</v>
      </c>
      <c r="C33" s="832"/>
      <c r="D33" s="491">
        <f>+D34+D35</f>
        <v>0</v>
      </c>
      <c r="E33" s="506">
        <f>+E34+E35</f>
        <v>0</v>
      </c>
      <c r="F33" s="492">
        <f>+F34+F35</f>
        <v>0</v>
      </c>
      <c r="G33" s="491">
        <f>+G34+G35</f>
        <v>0</v>
      </c>
      <c r="H33" s="506">
        <f>+H34+H35</f>
        <v>0</v>
      </c>
      <c r="I33" s="507">
        <f t="shared" si="1"/>
        <v>0</v>
      </c>
    </row>
    <row r="34" spans="2:9" ht="12">
      <c r="B34" s="209" t="s">
        <v>622</v>
      </c>
      <c r="C34" s="213"/>
      <c r="D34" s="331"/>
      <c r="E34" s="332"/>
      <c r="F34" s="333"/>
      <c r="G34" s="331"/>
      <c r="H34" s="332"/>
      <c r="I34" s="507">
        <f t="shared" si="1"/>
        <v>0</v>
      </c>
    </row>
    <row r="35" spans="2:9" ht="12">
      <c r="B35" s="209" t="s">
        <v>623</v>
      </c>
      <c r="C35" s="213"/>
      <c r="D35" s="331"/>
      <c r="E35" s="332"/>
      <c r="F35" s="333"/>
      <c r="G35" s="331"/>
      <c r="H35" s="332"/>
      <c r="I35" s="507">
        <f t="shared" si="1"/>
        <v>0</v>
      </c>
    </row>
    <row r="36" spans="2:9" ht="12">
      <c r="B36" s="209" t="s">
        <v>624</v>
      </c>
      <c r="C36" s="213"/>
      <c r="D36" s="331"/>
      <c r="E36" s="332"/>
      <c r="F36" s="333"/>
      <c r="G36" s="331"/>
      <c r="H36" s="332"/>
      <c r="I36" s="507">
        <f t="shared" si="1"/>
        <v>0</v>
      </c>
    </row>
    <row r="37" spans="2:9" ht="12">
      <c r="B37" s="209"/>
      <c r="C37" s="213"/>
      <c r="D37" s="491"/>
      <c r="E37" s="506"/>
      <c r="F37" s="492"/>
      <c r="G37" s="491"/>
      <c r="H37" s="506"/>
      <c r="I37" s="507"/>
    </row>
    <row r="38" spans="1:10" s="211" customFormat="1" ht="12">
      <c r="A38" s="210"/>
      <c r="B38" s="699" t="s">
        <v>626</v>
      </c>
      <c r="C38" s="700"/>
      <c r="D38" s="532">
        <f>+D14+D26</f>
        <v>6559454396</v>
      </c>
      <c r="E38" s="533">
        <f>+E14+E26</f>
        <v>-90186372.89000002</v>
      </c>
      <c r="F38" s="547">
        <f>+F14+F26</f>
        <v>6469268023.096</v>
      </c>
      <c r="G38" s="532">
        <f>+G14+G26</f>
        <v>3111363512.406993</v>
      </c>
      <c r="H38" s="533">
        <f>+H14+H26</f>
        <v>256444269.26999998</v>
      </c>
      <c r="I38" s="485">
        <f>+F38-G38</f>
        <v>3357904510.689007</v>
      </c>
      <c r="J38" s="210"/>
    </row>
    <row r="39" spans="2:9" ht="12">
      <c r="B39" s="212"/>
      <c r="C39" s="265"/>
      <c r="D39" s="548"/>
      <c r="E39" s="549"/>
      <c r="F39" s="550"/>
      <c r="G39" s="548"/>
      <c r="H39" s="549"/>
      <c r="I39" s="546"/>
    </row>
    <row r="40" spans="2:9" ht="12">
      <c r="B40" s="693" t="s">
        <v>149</v>
      </c>
      <c r="C40" s="693"/>
      <c r="D40" s="693"/>
      <c r="E40" s="693"/>
      <c r="F40" s="693"/>
      <c r="G40" s="693"/>
      <c r="H40" s="693"/>
      <c r="I40" s="206"/>
    </row>
    <row r="41" spans="2:9" ht="12">
      <c r="B41" s="693"/>
      <c r="C41" s="693"/>
      <c r="D41" s="693"/>
      <c r="E41" s="693"/>
      <c r="F41" s="693"/>
      <c r="G41" s="693"/>
      <c r="H41" s="693"/>
      <c r="I41" s="206"/>
    </row>
    <row r="42" spans="2:9" ht="12">
      <c r="B42" s="213"/>
      <c r="C42" s="213"/>
      <c r="D42" s="206"/>
      <c r="E42" s="206"/>
      <c r="F42" s="206"/>
      <c r="G42" s="206"/>
      <c r="H42" s="206"/>
      <c r="I42" s="206"/>
    </row>
    <row r="43" spans="2:9" ht="12">
      <c r="B43" s="213"/>
      <c r="C43" s="213"/>
      <c r="D43" s="206"/>
      <c r="E43" s="206"/>
      <c r="F43" s="206"/>
      <c r="G43" s="206"/>
      <c r="H43" s="206"/>
      <c r="I43" s="206"/>
    </row>
    <row r="44" spans="2:9" ht="12">
      <c r="B44" s="213"/>
      <c r="C44" s="213"/>
      <c r="D44" s="206"/>
      <c r="E44" s="206"/>
      <c r="F44" s="206"/>
      <c r="G44" s="206"/>
      <c r="H44" s="206"/>
      <c r="I44" s="206"/>
    </row>
    <row r="45" spans="2:9" ht="12">
      <c r="B45" s="213"/>
      <c r="C45" s="213"/>
      <c r="D45" s="206"/>
      <c r="E45" s="206"/>
      <c r="F45" s="206"/>
      <c r="G45" s="206"/>
      <c r="H45" s="206"/>
      <c r="I45" s="206"/>
    </row>
    <row r="46" spans="2:9" ht="12">
      <c r="B46" s="213"/>
      <c r="C46" s="213"/>
      <c r="D46" s="206"/>
      <c r="E46" s="206"/>
      <c r="F46" s="206"/>
      <c r="G46" s="206"/>
      <c r="H46" s="206"/>
      <c r="I46" s="206"/>
    </row>
    <row r="47" spans="2:9" ht="12">
      <c r="B47" s="279"/>
      <c r="C47" s="321"/>
      <c r="D47" s="322"/>
      <c r="E47" s="323"/>
      <c r="F47" s="322"/>
      <c r="G47" s="322"/>
      <c r="H47" s="322"/>
      <c r="I47" s="323"/>
    </row>
    <row r="48" spans="2:9" ht="12">
      <c r="B48" s="279"/>
      <c r="C48" s="833" t="str">
        <f>+ENTE!D10</f>
        <v>ING. ENRIQUE DE ECHAVARRI LARY</v>
      </c>
      <c r="D48" s="833"/>
      <c r="E48" s="323"/>
      <c r="F48" s="835" t="str">
        <f>+ENTE!D14</f>
        <v>LIC. RICARDO SALVADOR BACA MUÑOZ</v>
      </c>
      <c r="G48" s="835"/>
      <c r="H48" s="835"/>
      <c r="I48" s="323"/>
    </row>
    <row r="49" spans="2:9" ht="12">
      <c r="B49" s="279"/>
      <c r="C49" s="830" t="str">
        <f>+ENTE!D12</f>
        <v>COORDINADOR GENERAL </v>
      </c>
      <c r="D49" s="830"/>
      <c r="E49" s="323"/>
      <c r="F49" s="834" t="str">
        <f>+ENTE!D16</f>
        <v>DIRECTOR DE ADMINISTRACION</v>
      </c>
      <c r="G49" s="834"/>
      <c r="H49" s="834"/>
      <c r="I49" s="323"/>
    </row>
    <row r="50" spans="2:9" ht="12">
      <c r="B50" s="213"/>
      <c r="C50" s="213"/>
      <c r="D50" s="206"/>
      <c r="E50" s="206"/>
      <c r="F50" s="206"/>
      <c r="G50" s="206"/>
      <c r="H50" s="206"/>
      <c r="I50" s="206"/>
    </row>
    <row r="51" spans="2:9" ht="12">
      <c r="B51" s="213"/>
      <c r="C51" s="213"/>
      <c r="D51" s="206"/>
      <c r="E51" s="206"/>
      <c r="F51" s="206"/>
      <c r="G51" s="206"/>
      <c r="H51" s="206"/>
      <c r="I51" s="206"/>
    </row>
    <row r="52" spans="2:9" ht="12">
      <c r="B52" s="213"/>
      <c r="C52" s="213"/>
      <c r="D52" s="206"/>
      <c r="E52" s="206"/>
      <c r="F52" s="206"/>
      <c r="G52" s="206"/>
      <c r="H52" s="206"/>
      <c r="I52" s="206"/>
    </row>
    <row r="53" spans="2:9" ht="12">
      <c r="B53" s="213"/>
      <c r="C53" s="213"/>
      <c r="D53" s="206"/>
      <c r="E53" s="206"/>
      <c r="F53" s="206"/>
      <c r="G53" s="206"/>
      <c r="H53" s="206"/>
      <c r="I53" s="206"/>
    </row>
    <row r="54" spans="2:9" ht="12">
      <c r="B54" s="213"/>
      <c r="C54" s="213"/>
      <c r="D54" s="206"/>
      <c r="E54" s="206"/>
      <c r="F54" s="206"/>
      <c r="G54" s="206"/>
      <c r="H54" s="206"/>
      <c r="I54" s="206"/>
    </row>
    <row r="55" spans="2:9" ht="12">
      <c r="B55" s="213"/>
      <c r="C55" s="213"/>
      <c r="D55" s="206"/>
      <c r="E55" s="206"/>
      <c r="F55" s="206"/>
      <c r="G55" s="206"/>
      <c r="H55" s="206"/>
      <c r="I55" s="206"/>
    </row>
    <row r="56" spans="2:9" ht="12">
      <c r="B56" s="214"/>
      <c r="C56" s="214"/>
      <c r="D56" s="206"/>
      <c r="E56" s="206"/>
      <c r="F56" s="206"/>
      <c r="G56" s="206"/>
      <c r="H56" s="206"/>
      <c r="I56" s="206"/>
    </row>
    <row r="57" spans="2:9" ht="12">
      <c r="B57" s="213"/>
      <c r="C57" s="213"/>
      <c r="D57" s="206"/>
      <c r="E57" s="206"/>
      <c r="F57" s="206"/>
      <c r="G57" s="206"/>
      <c r="H57" s="206"/>
      <c r="I57" s="206"/>
    </row>
    <row r="58" spans="2:9" ht="12">
      <c r="B58" s="213"/>
      <c r="C58" s="213"/>
      <c r="D58" s="206"/>
      <c r="E58" s="206"/>
      <c r="F58" s="206"/>
      <c r="G58" s="206"/>
      <c r="H58" s="206"/>
      <c r="I58" s="206"/>
    </row>
    <row r="59" spans="2:9" ht="12">
      <c r="B59" s="213"/>
      <c r="C59" s="213"/>
      <c r="D59" s="206"/>
      <c r="E59" s="206"/>
      <c r="F59" s="206"/>
      <c r="G59" s="206"/>
      <c r="H59" s="206"/>
      <c r="I59" s="206"/>
    </row>
    <row r="60" spans="2:9" ht="12">
      <c r="B60" s="213"/>
      <c r="C60" s="213"/>
      <c r="D60" s="206"/>
      <c r="E60" s="206"/>
      <c r="F60" s="206"/>
      <c r="G60" s="206"/>
      <c r="H60" s="206"/>
      <c r="I60" s="206"/>
    </row>
    <row r="61" spans="2:9" ht="12">
      <c r="B61" s="213"/>
      <c r="C61" s="213"/>
      <c r="D61" s="206"/>
      <c r="E61" s="206"/>
      <c r="F61" s="206"/>
      <c r="G61" s="206"/>
      <c r="H61" s="206"/>
      <c r="I61" s="206"/>
    </row>
    <row r="62" spans="2:9" ht="12">
      <c r="B62" s="213"/>
      <c r="C62" s="213"/>
      <c r="D62" s="206"/>
      <c r="E62" s="206"/>
      <c r="F62" s="206"/>
      <c r="G62" s="206"/>
      <c r="H62" s="206"/>
      <c r="I62" s="206"/>
    </row>
    <row r="63" spans="2:9" ht="12">
      <c r="B63" s="213"/>
      <c r="C63" s="213"/>
      <c r="D63" s="206"/>
      <c r="E63" s="206"/>
      <c r="F63" s="206"/>
      <c r="G63" s="206"/>
      <c r="H63" s="206"/>
      <c r="I63" s="206"/>
    </row>
    <row r="64" spans="2:9" ht="12">
      <c r="B64" s="213"/>
      <c r="C64" s="213"/>
      <c r="D64" s="206"/>
      <c r="E64" s="206"/>
      <c r="F64" s="206"/>
      <c r="G64" s="206"/>
      <c r="H64" s="206"/>
      <c r="I64" s="206"/>
    </row>
    <row r="65" spans="2:9" ht="12">
      <c r="B65" s="213"/>
      <c r="C65" s="213"/>
      <c r="D65" s="206"/>
      <c r="E65" s="206"/>
      <c r="F65" s="206"/>
      <c r="G65" s="206"/>
      <c r="H65" s="206"/>
      <c r="I65" s="206"/>
    </row>
    <row r="66" spans="2:9" ht="12">
      <c r="B66" s="213"/>
      <c r="C66" s="213"/>
      <c r="D66" s="206"/>
      <c r="E66" s="206"/>
      <c r="F66" s="206"/>
      <c r="G66" s="206"/>
      <c r="H66" s="206"/>
      <c r="I66" s="206"/>
    </row>
    <row r="67" spans="2:9" ht="12">
      <c r="B67" s="213"/>
      <c r="C67" s="213"/>
      <c r="D67" s="206"/>
      <c r="E67" s="206"/>
      <c r="F67" s="206"/>
      <c r="G67" s="206"/>
      <c r="H67" s="206"/>
      <c r="I67" s="206"/>
    </row>
    <row r="68" spans="2:9" ht="12">
      <c r="B68" s="213"/>
      <c r="C68" s="213"/>
      <c r="D68" s="206"/>
      <c r="E68" s="206"/>
      <c r="F68" s="206"/>
      <c r="G68" s="206"/>
      <c r="H68" s="206"/>
      <c r="I68" s="206"/>
    </row>
    <row r="69" spans="2:9" ht="12">
      <c r="B69" s="213"/>
      <c r="C69" s="213"/>
      <c r="D69" s="206"/>
      <c r="E69" s="206"/>
      <c r="F69" s="206"/>
      <c r="G69" s="206"/>
      <c r="H69" s="206"/>
      <c r="I69" s="206"/>
    </row>
    <row r="70" spans="2:9" ht="12">
      <c r="B70" s="213"/>
      <c r="C70" s="213"/>
      <c r="D70" s="206"/>
      <c r="E70" s="206"/>
      <c r="F70" s="206"/>
      <c r="G70" s="206"/>
      <c r="H70" s="206"/>
      <c r="I70" s="206"/>
    </row>
  </sheetData>
  <sheetProtection sheet="1" objects="1" scenarios="1" selectLockedCells="1"/>
  <mergeCells count="20">
    <mergeCell ref="B41:H41"/>
    <mergeCell ref="C48:D48"/>
    <mergeCell ref="C49:D49"/>
    <mergeCell ref="F49:H49"/>
    <mergeCell ref="F48:H48"/>
    <mergeCell ref="B2:I2"/>
    <mergeCell ref="B3:I3"/>
    <mergeCell ref="B4:I4"/>
    <mergeCell ref="B5:I5"/>
    <mergeCell ref="B6:I6"/>
    <mergeCell ref="B14:C14"/>
    <mergeCell ref="D10:H10"/>
    <mergeCell ref="I10:I11"/>
    <mergeCell ref="D8:I8"/>
    <mergeCell ref="B10:C11"/>
    <mergeCell ref="B40:H40"/>
    <mergeCell ref="B33:C33"/>
    <mergeCell ref="B21:C21"/>
    <mergeCell ref="B38:C38"/>
    <mergeCell ref="B26:C26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83" r:id="rId1"/>
  <headerFooter>
    <oddFooter>&amp;C&amp;A&amp;RPágina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B2:I45"/>
  <sheetViews>
    <sheetView showGridLines="0" view="pageBreakPreview" zoomScaleSheetLayoutView="100" zoomScalePageLayoutView="0" workbookViewId="0" topLeftCell="A1">
      <selection activeCell="B4" sqref="B4:E4"/>
    </sheetView>
  </sheetViews>
  <sheetFormatPr defaultColWidth="11.421875" defaultRowHeight="15"/>
  <cols>
    <col min="1" max="1" width="3.00390625" style="3" customWidth="1"/>
    <col min="2" max="2" width="5.28125" style="3" customWidth="1"/>
    <col min="3" max="3" width="43.7109375" style="3" customWidth="1"/>
    <col min="4" max="4" width="28.8515625" style="3" customWidth="1"/>
    <col min="5" max="5" width="24.421875" style="3" customWidth="1"/>
    <col min="6" max="6" width="3.28125" style="3" customWidth="1"/>
    <col min="7" max="16384" width="11.421875" style="3" customWidth="1"/>
  </cols>
  <sheetData>
    <row r="2" spans="2:6" ht="12">
      <c r="B2" s="677"/>
      <c r="C2" s="677"/>
      <c r="D2" s="677"/>
      <c r="E2" s="677"/>
      <c r="F2" s="281"/>
    </row>
    <row r="3" spans="2:5" ht="12">
      <c r="B3" s="680" t="s">
        <v>772</v>
      </c>
      <c r="C3" s="680"/>
      <c r="D3" s="680"/>
      <c r="E3" s="680"/>
    </row>
    <row r="4" spans="2:5" ht="12">
      <c r="B4" s="680" t="str">
        <f>"Del 1 de enero al "&amp;TEXT(INDEX(Periodos,ENTE!D18,1),"dd")&amp;" de "&amp;TEXT(INDEX(Periodos,ENTE!D18,1),"mmmm")&amp;" de "&amp;TEXT(INDEX(Periodos,ENTE!D18,1),"aaaa")&amp;""</f>
        <v>Del 1 de enero al 30 de septiembre de 2017</v>
      </c>
      <c r="C4" s="680"/>
      <c r="D4" s="680"/>
      <c r="E4" s="680"/>
    </row>
    <row r="5" spans="2:5" ht="12">
      <c r="B5" s="680" t="s">
        <v>92</v>
      </c>
      <c r="C5" s="680"/>
      <c r="D5" s="680"/>
      <c r="E5" s="680"/>
    </row>
    <row r="6" spans="2:5" ht="12">
      <c r="B6" s="556"/>
      <c r="C6" s="556"/>
      <c r="D6" s="556"/>
      <c r="E6" s="556"/>
    </row>
    <row r="7" spans="2:5" ht="12">
      <c r="B7" s="557" t="s">
        <v>4</v>
      </c>
      <c r="C7" s="679" t="str">
        <f>+ENTE!D8</f>
        <v>UNIDAD DE SERVICIOS PARA LA EDUCACION BASICA EN EL ESTADO DE QUERETARO</v>
      </c>
      <c r="D7" s="679"/>
      <c r="E7" s="679"/>
    </row>
    <row r="8" spans="2:4" ht="12">
      <c r="B8" s="21"/>
      <c r="C8" s="21"/>
      <c r="D8" s="21"/>
    </row>
    <row r="9" spans="2:5" ht="12">
      <c r="B9" s="838" t="s">
        <v>771</v>
      </c>
      <c r="C9" s="839"/>
      <c r="D9" s="554" t="s">
        <v>221</v>
      </c>
      <c r="E9" s="554" t="s">
        <v>245</v>
      </c>
    </row>
    <row r="10" spans="2:5" ht="12">
      <c r="B10" s="844" t="s">
        <v>770</v>
      </c>
      <c r="C10" s="845"/>
      <c r="D10" s="845"/>
      <c r="E10" s="846"/>
    </row>
    <row r="11" spans="2:5" ht="12">
      <c r="B11" s="568"/>
      <c r="C11" s="567" t="s">
        <v>826</v>
      </c>
      <c r="D11" s="566"/>
      <c r="E11" s="569"/>
    </row>
    <row r="12" spans="2:5" ht="12">
      <c r="B12" s="564"/>
      <c r="C12" s="842"/>
      <c r="D12" s="842"/>
      <c r="E12" s="562"/>
    </row>
    <row r="13" spans="2:5" ht="12">
      <c r="B13" s="564"/>
      <c r="C13" s="563"/>
      <c r="D13" s="333"/>
      <c r="E13" s="562"/>
    </row>
    <row r="14" spans="2:5" ht="12">
      <c r="B14" s="564"/>
      <c r="C14" s="563"/>
      <c r="D14" s="333"/>
      <c r="E14" s="562"/>
    </row>
    <row r="15" spans="2:5" ht="12">
      <c r="B15" s="564"/>
      <c r="C15" s="563"/>
      <c r="D15" s="333"/>
      <c r="E15" s="562"/>
    </row>
    <row r="16" spans="2:5" ht="12">
      <c r="B16" s="564"/>
      <c r="C16" s="563"/>
      <c r="D16" s="333"/>
      <c r="E16" s="562"/>
    </row>
    <row r="17" spans="2:5" ht="12">
      <c r="B17" s="564"/>
      <c r="C17" s="563"/>
      <c r="D17" s="333"/>
      <c r="E17" s="562"/>
    </row>
    <row r="18" spans="2:5" ht="12">
      <c r="B18" s="564"/>
      <c r="C18" s="563"/>
      <c r="D18" s="333"/>
      <c r="E18" s="562"/>
    </row>
    <row r="19" spans="2:5" ht="12">
      <c r="B19" s="564"/>
      <c r="C19" s="563"/>
      <c r="D19" s="333"/>
      <c r="E19" s="562"/>
    </row>
    <row r="20" spans="2:5" ht="12">
      <c r="B20" s="564"/>
      <c r="C20" s="563"/>
      <c r="D20" s="333"/>
      <c r="E20" s="562"/>
    </row>
    <row r="21" spans="2:5" ht="12">
      <c r="B21" s="836" t="s">
        <v>769</v>
      </c>
      <c r="C21" s="837"/>
      <c r="D21" s="492">
        <f>SUM(D11:D20)</f>
        <v>0</v>
      </c>
      <c r="E21" s="507">
        <f>SUM(E11:E20)</f>
        <v>0</v>
      </c>
    </row>
    <row r="22" spans="2:5" ht="12">
      <c r="B22" s="838" t="s">
        <v>768</v>
      </c>
      <c r="C22" s="839"/>
      <c r="D22" s="839"/>
      <c r="E22" s="840"/>
    </row>
    <row r="23" spans="2:5" ht="12">
      <c r="B23" s="568"/>
      <c r="C23" s="567"/>
      <c r="D23" s="566"/>
      <c r="E23" s="565"/>
    </row>
    <row r="24" spans="2:5" ht="12">
      <c r="B24" s="564"/>
      <c r="C24" s="563"/>
      <c r="D24" s="333"/>
      <c r="E24" s="562"/>
    </row>
    <row r="25" spans="2:5" ht="12">
      <c r="B25" s="564"/>
      <c r="C25" s="563"/>
      <c r="D25" s="333"/>
      <c r="E25" s="562"/>
    </row>
    <row r="26" spans="2:5" ht="12">
      <c r="B26" s="564"/>
      <c r="C26" s="563"/>
      <c r="D26" s="333"/>
      <c r="E26" s="562"/>
    </row>
    <row r="27" spans="2:5" ht="12">
      <c r="B27" s="564"/>
      <c r="C27" s="563"/>
      <c r="D27" s="333"/>
      <c r="E27" s="562"/>
    </row>
    <row r="28" spans="2:5" ht="12">
      <c r="B28" s="564"/>
      <c r="C28" s="563"/>
      <c r="D28" s="333"/>
      <c r="E28" s="562"/>
    </row>
    <row r="29" spans="2:5" ht="12">
      <c r="B29" s="564"/>
      <c r="C29" s="563"/>
      <c r="D29" s="333"/>
      <c r="E29" s="562"/>
    </row>
    <row r="30" spans="2:5" ht="12">
      <c r="B30" s="564"/>
      <c r="C30" s="563"/>
      <c r="D30" s="333"/>
      <c r="E30" s="562"/>
    </row>
    <row r="31" spans="2:5" ht="12">
      <c r="B31" s="564"/>
      <c r="C31" s="563"/>
      <c r="D31" s="333"/>
      <c r="E31" s="562"/>
    </row>
    <row r="32" spans="2:5" ht="12">
      <c r="B32" s="564"/>
      <c r="C32" s="563"/>
      <c r="D32" s="333"/>
      <c r="E32" s="562"/>
    </row>
    <row r="33" spans="2:5" ht="12">
      <c r="B33" s="564"/>
      <c r="C33" s="563"/>
      <c r="D33" s="333"/>
      <c r="E33" s="562"/>
    </row>
    <row r="34" spans="2:5" ht="12">
      <c r="B34" s="564"/>
      <c r="C34" s="563"/>
      <c r="D34" s="333"/>
      <c r="E34" s="562"/>
    </row>
    <row r="35" spans="2:5" ht="12">
      <c r="B35" s="836" t="s">
        <v>767</v>
      </c>
      <c r="C35" s="837"/>
      <c r="D35" s="20">
        <f>SUM(D23:D34)</f>
        <v>0</v>
      </c>
      <c r="E35" s="30">
        <f>SUM(E23:E34)</f>
        <v>0</v>
      </c>
    </row>
    <row r="36" spans="2:5" ht="12">
      <c r="B36" s="49"/>
      <c r="C36" s="20"/>
      <c r="D36" s="20"/>
      <c r="E36" s="561"/>
    </row>
    <row r="37" spans="2:5" ht="12">
      <c r="B37" s="843" t="s">
        <v>766</v>
      </c>
      <c r="C37" s="709"/>
      <c r="D37" s="560">
        <f>+D21+D35</f>
        <v>0</v>
      </c>
      <c r="E37" s="559">
        <f>+E21+E35</f>
        <v>0</v>
      </c>
    </row>
    <row r="38" spans="2:5" ht="12">
      <c r="B38" s="841" t="s">
        <v>149</v>
      </c>
      <c r="C38" s="841"/>
      <c r="D38" s="841"/>
      <c r="E38" s="841"/>
    </row>
    <row r="39" spans="2:9" ht="12" customHeight="1">
      <c r="B39" s="841"/>
      <c r="C39" s="841"/>
      <c r="D39" s="841"/>
      <c r="E39" s="841"/>
      <c r="F39" s="558"/>
      <c r="G39" s="558"/>
      <c r="H39" s="558"/>
      <c r="I39" s="558"/>
    </row>
    <row r="43" spans="3:5" ht="12">
      <c r="C43" s="17"/>
      <c r="D43" s="42"/>
      <c r="E43" s="42"/>
    </row>
    <row r="44" spans="3:5" ht="12">
      <c r="C44" s="555" t="str">
        <f>+ENTE!D10</f>
        <v>ING. ENRIQUE DE ECHAVARRI LARY</v>
      </c>
      <c r="D44" s="692" t="str">
        <f>+ENTE!D14</f>
        <v>LIC. RICARDO SALVADOR BACA MUÑOZ</v>
      </c>
      <c r="E44" s="692"/>
    </row>
    <row r="45" spans="3:5" ht="12">
      <c r="C45" s="555" t="str">
        <f>+ENTE!D12</f>
        <v>COORDINADOR GENERAL </v>
      </c>
      <c r="D45" s="692" t="str">
        <f>+ENTE!D16</f>
        <v>DIRECTOR DE ADMINISTRACION</v>
      </c>
      <c r="E45" s="692"/>
    </row>
  </sheetData>
  <sheetProtection selectLockedCells="1"/>
  <mergeCells count="16">
    <mergeCell ref="B39:E39"/>
    <mergeCell ref="D44:E44"/>
    <mergeCell ref="D45:E45"/>
    <mergeCell ref="B5:E5"/>
    <mergeCell ref="B2:E2"/>
    <mergeCell ref="B3:E3"/>
    <mergeCell ref="B4:E4"/>
    <mergeCell ref="B37:C37"/>
    <mergeCell ref="C7:E7"/>
    <mergeCell ref="B10:E10"/>
    <mergeCell ref="B21:C21"/>
    <mergeCell ref="B22:E22"/>
    <mergeCell ref="B35:C35"/>
    <mergeCell ref="B9:C9"/>
    <mergeCell ref="B38:E38"/>
    <mergeCell ref="C12:D12"/>
  </mergeCells>
  <printOptions/>
  <pageMargins left="0.7086614173228347" right="0.7086614173228347" top="0.7480314960629921" bottom="0.7480314960629921" header="0.31496062992125984" footer="0.31496062992125984"/>
  <pageSetup fitToHeight="15" horizontalDpi="600" verticalDpi="600" orientation="landscape" scale="95" r:id="rId2"/>
  <headerFooter>
    <oddFooter>&amp;C&amp;A&amp;RPágina &amp;P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45"/>
  <sheetViews>
    <sheetView showGridLines="0" view="pageBreakPreview" zoomScaleSheetLayoutView="100" zoomScalePageLayoutView="0" workbookViewId="0" topLeftCell="A1">
      <selection activeCell="B3" sqref="B3:I3"/>
    </sheetView>
  </sheetViews>
  <sheetFormatPr defaultColWidth="11.421875" defaultRowHeight="15"/>
  <cols>
    <col min="1" max="1" width="3.00390625" style="3" customWidth="1"/>
    <col min="2" max="2" width="12.8515625" style="3" customWidth="1"/>
    <col min="3" max="3" width="19.00390625" style="3" customWidth="1"/>
    <col min="4" max="7" width="11.421875" style="3" customWidth="1"/>
    <col min="8" max="8" width="13.421875" style="3" customWidth="1"/>
    <col min="9" max="9" width="10.00390625" style="3" customWidth="1"/>
    <col min="10" max="10" width="3.00390625" style="3" customWidth="1"/>
    <col min="11" max="16384" width="11.421875" style="3" customWidth="1"/>
  </cols>
  <sheetData>
    <row r="1" spans="1:10" ht="12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12" hidden="1">
      <c r="A2" s="21"/>
      <c r="B2" s="677"/>
      <c r="C2" s="677"/>
      <c r="D2" s="677"/>
      <c r="E2" s="677"/>
      <c r="F2" s="677"/>
      <c r="G2" s="677"/>
      <c r="H2" s="677"/>
      <c r="I2" s="677"/>
      <c r="J2" s="21"/>
    </row>
    <row r="3" spans="1:10" ht="12">
      <c r="A3" s="21"/>
      <c r="B3" s="680" t="s">
        <v>795</v>
      </c>
      <c r="C3" s="680"/>
      <c r="D3" s="680"/>
      <c r="E3" s="680"/>
      <c r="F3" s="680"/>
      <c r="G3" s="680"/>
      <c r="H3" s="680"/>
      <c r="I3" s="680"/>
      <c r="J3" s="21"/>
    </row>
    <row r="4" spans="1:10" ht="12">
      <c r="A4" s="21"/>
      <c r="B4" s="680" t="s">
        <v>929</v>
      </c>
      <c r="C4" s="680"/>
      <c r="D4" s="680"/>
      <c r="E4" s="680"/>
      <c r="F4" s="680"/>
      <c r="G4" s="680"/>
      <c r="H4" s="680"/>
      <c r="I4" s="680"/>
      <c r="J4" s="21"/>
    </row>
    <row r="5" spans="1:10" ht="12">
      <c r="A5" s="21"/>
      <c r="B5" s="680" t="s">
        <v>92</v>
      </c>
      <c r="C5" s="680"/>
      <c r="D5" s="680"/>
      <c r="E5" s="680"/>
      <c r="F5" s="680"/>
      <c r="G5" s="680"/>
      <c r="H5" s="680"/>
      <c r="I5" s="680"/>
      <c r="J5" s="21"/>
    </row>
    <row r="6" spans="1:10" ht="12">
      <c r="A6" s="21"/>
      <c r="B6" s="582"/>
      <c r="C6" s="582"/>
      <c r="D6" s="582"/>
      <c r="E6" s="582"/>
      <c r="F6" s="582"/>
      <c r="G6" s="582"/>
      <c r="H6" s="582"/>
      <c r="I6" s="582"/>
      <c r="J6" s="21"/>
    </row>
    <row r="7" spans="1:10" ht="12">
      <c r="A7" s="21"/>
      <c r="B7" s="583" t="s">
        <v>4</v>
      </c>
      <c r="C7" s="679" t="str">
        <f>+ENTE!D8</f>
        <v>UNIDAD DE SERVICIOS PARA LA EDUCACION BASICA EN EL ESTADO DE QUERETARO</v>
      </c>
      <c r="D7" s="679"/>
      <c r="E7" s="679"/>
      <c r="F7" s="679"/>
      <c r="G7" s="679"/>
      <c r="H7" s="679"/>
      <c r="I7" s="679"/>
      <c r="J7" s="21"/>
    </row>
    <row r="8" spans="1:10" ht="12">
      <c r="A8" s="21"/>
      <c r="B8" s="21"/>
      <c r="C8" s="21"/>
      <c r="D8" s="21"/>
      <c r="E8" s="21"/>
      <c r="F8" s="21"/>
      <c r="G8" s="21"/>
      <c r="H8" s="21"/>
      <c r="I8" s="21"/>
      <c r="J8" s="21"/>
    </row>
    <row r="9" spans="1:10" ht="12">
      <c r="A9" s="21"/>
      <c r="B9" s="865" t="s">
        <v>771</v>
      </c>
      <c r="C9" s="865"/>
      <c r="D9" s="865" t="s">
        <v>794</v>
      </c>
      <c r="E9" s="865"/>
      <c r="F9" s="865" t="s">
        <v>793</v>
      </c>
      <c r="G9" s="865"/>
      <c r="H9" s="865" t="s">
        <v>792</v>
      </c>
      <c r="I9" s="865"/>
      <c r="J9" s="21"/>
    </row>
    <row r="10" spans="1:10" ht="12">
      <c r="A10" s="21"/>
      <c r="B10" s="865"/>
      <c r="C10" s="865"/>
      <c r="D10" s="865" t="s">
        <v>52</v>
      </c>
      <c r="E10" s="865"/>
      <c r="F10" s="865" t="s">
        <v>44</v>
      </c>
      <c r="G10" s="865"/>
      <c r="H10" s="865" t="s">
        <v>791</v>
      </c>
      <c r="I10" s="865"/>
      <c r="J10" s="21"/>
    </row>
    <row r="11" spans="1:10" ht="12">
      <c r="A11" s="21"/>
      <c r="B11" s="857" t="s">
        <v>770</v>
      </c>
      <c r="C11" s="858"/>
      <c r="D11" s="858"/>
      <c r="E11" s="858"/>
      <c r="F11" s="858"/>
      <c r="G11" s="858"/>
      <c r="H11" s="858"/>
      <c r="I11" s="859"/>
      <c r="J11" s="21"/>
    </row>
    <row r="12" spans="1:10" ht="12">
      <c r="A12" s="21"/>
      <c r="B12" s="860" t="s">
        <v>826</v>
      </c>
      <c r="C12" s="861"/>
      <c r="D12" s="862"/>
      <c r="E12" s="862"/>
      <c r="F12" s="862"/>
      <c r="G12" s="862"/>
      <c r="H12" s="863">
        <f aca="true" t="shared" si="0" ref="H12:H21">+D12-F12</f>
        <v>0</v>
      </c>
      <c r="I12" s="864"/>
      <c r="J12" s="21"/>
    </row>
    <row r="13" spans="1:10" ht="12">
      <c r="A13" s="21"/>
      <c r="B13" s="852"/>
      <c r="C13" s="853"/>
      <c r="D13" s="842"/>
      <c r="E13" s="842"/>
      <c r="F13" s="842"/>
      <c r="G13" s="842"/>
      <c r="H13" s="849">
        <f t="shared" si="0"/>
        <v>0</v>
      </c>
      <c r="I13" s="850"/>
      <c r="J13" s="21"/>
    </row>
    <row r="14" spans="1:10" ht="12">
      <c r="A14" s="21"/>
      <c r="B14" s="852"/>
      <c r="C14" s="853"/>
      <c r="D14" s="842"/>
      <c r="E14" s="842"/>
      <c r="F14" s="842"/>
      <c r="G14" s="842"/>
      <c r="H14" s="849">
        <f t="shared" si="0"/>
        <v>0</v>
      </c>
      <c r="I14" s="850"/>
      <c r="J14" s="21"/>
    </row>
    <row r="15" spans="1:10" ht="12">
      <c r="A15" s="21"/>
      <c r="B15" s="852"/>
      <c r="C15" s="853"/>
      <c r="D15" s="842"/>
      <c r="E15" s="842"/>
      <c r="F15" s="842"/>
      <c r="G15" s="842"/>
      <c r="H15" s="849">
        <f t="shared" si="0"/>
        <v>0</v>
      </c>
      <c r="I15" s="850"/>
      <c r="J15" s="21"/>
    </row>
    <row r="16" spans="1:10" ht="12">
      <c r="A16" s="21"/>
      <c r="B16" s="852"/>
      <c r="C16" s="853"/>
      <c r="D16" s="842"/>
      <c r="E16" s="842"/>
      <c r="F16" s="842"/>
      <c r="G16" s="842"/>
      <c r="H16" s="849">
        <f t="shared" si="0"/>
        <v>0</v>
      </c>
      <c r="I16" s="850"/>
      <c r="J16" s="21"/>
    </row>
    <row r="17" spans="1:10" ht="12">
      <c r="A17" s="21"/>
      <c r="B17" s="852"/>
      <c r="C17" s="853"/>
      <c r="D17" s="842"/>
      <c r="E17" s="842"/>
      <c r="F17" s="842"/>
      <c r="G17" s="842"/>
      <c r="H17" s="849">
        <f t="shared" si="0"/>
        <v>0</v>
      </c>
      <c r="I17" s="850"/>
      <c r="J17" s="21"/>
    </row>
    <row r="18" spans="1:10" ht="12">
      <c r="A18" s="21"/>
      <c r="B18" s="852"/>
      <c r="C18" s="853"/>
      <c r="D18" s="842"/>
      <c r="E18" s="842"/>
      <c r="F18" s="842"/>
      <c r="G18" s="842"/>
      <c r="H18" s="849">
        <f t="shared" si="0"/>
        <v>0</v>
      </c>
      <c r="I18" s="850"/>
      <c r="J18" s="21"/>
    </row>
    <row r="19" spans="1:10" ht="12">
      <c r="A19" s="21"/>
      <c r="B19" s="852"/>
      <c r="C19" s="853"/>
      <c r="D19" s="842"/>
      <c r="E19" s="842"/>
      <c r="F19" s="842"/>
      <c r="G19" s="842"/>
      <c r="H19" s="849">
        <f t="shared" si="0"/>
        <v>0</v>
      </c>
      <c r="I19" s="850"/>
      <c r="J19" s="21"/>
    </row>
    <row r="20" spans="1:10" ht="12">
      <c r="A20" s="21"/>
      <c r="B20" s="852"/>
      <c r="C20" s="853"/>
      <c r="D20" s="842"/>
      <c r="E20" s="842"/>
      <c r="F20" s="842"/>
      <c r="G20" s="842"/>
      <c r="H20" s="849">
        <f t="shared" si="0"/>
        <v>0</v>
      </c>
      <c r="I20" s="850"/>
      <c r="J20" s="21"/>
    </row>
    <row r="21" spans="1:10" ht="12">
      <c r="A21" s="21"/>
      <c r="B21" s="836" t="s">
        <v>790</v>
      </c>
      <c r="C21" s="837"/>
      <c r="D21" s="849">
        <f>SUM(D12:E20)</f>
        <v>0</v>
      </c>
      <c r="E21" s="849"/>
      <c r="F21" s="849">
        <f>SUM(F12:G20)</f>
        <v>0</v>
      </c>
      <c r="G21" s="849"/>
      <c r="H21" s="849">
        <f t="shared" si="0"/>
        <v>0</v>
      </c>
      <c r="I21" s="850"/>
      <c r="J21" s="21"/>
    </row>
    <row r="22" spans="1:10" ht="12">
      <c r="A22" s="21"/>
      <c r="B22" s="855"/>
      <c r="C22" s="854"/>
      <c r="D22" s="854"/>
      <c r="E22" s="854"/>
      <c r="F22" s="854"/>
      <c r="G22" s="854"/>
      <c r="H22" s="854"/>
      <c r="I22" s="856"/>
      <c r="J22" s="21"/>
    </row>
    <row r="23" spans="1:10" ht="12">
      <c r="A23" s="21"/>
      <c r="B23" s="857" t="s">
        <v>768</v>
      </c>
      <c r="C23" s="858"/>
      <c r="D23" s="858"/>
      <c r="E23" s="858"/>
      <c r="F23" s="858"/>
      <c r="G23" s="858"/>
      <c r="H23" s="858"/>
      <c r="I23" s="859"/>
      <c r="J23" s="21"/>
    </row>
    <row r="24" spans="1:10" ht="12">
      <c r="A24" s="21"/>
      <c r="B24" s="860"/>
      <c r="C24" s="861"/>
      <c r="D24" s="862"/>
      <c r="E24" s="862"/>
      <c r="F24" s="862"/>
      <c r="G24" s="862"/>
      <c r="H24" s="863"/>
      <c r="I24" s="864"/>
      <c r="J24" s="21"/>
    </row>
    <row r="25" spans="1:10" ht="12">
      <c r="A25" s="21"/>
      <c r="B25" s="852"/>
      <c r="C25" s="853"/>
      <c r="D25" s="842"/>
      <c r="E25" s="842"/>
      <c r="F25" s="842"/>
      <c r="G25" s="842"/>
      <c r="H25" s="849">
        <f aca="true" t="shared" si="1" ref="H25:H33">+D25-F25</f>
        <v>0</v>
      </c>
      <c r="I25" s="850"/>
      <c r="J25" s="21"/>
    </row>
    <row r="26" spans="1:10" ht="12">
      <c r="A26" s="21"/>
      <c r="B26" s="852"/>
      <c r="C26" s="853"/>
      <c r="D26" s="842"/>
      <c r="E26" s="842"/>
      <c r="F26" s="842"/>
      <c r="G26" s="842"/>
      <c r="H26" s="849">
        <f t="shared" si="1"/>
        <v>0</v>
      </c>
      <c r="I26" s="850"/>
      <c r="J26" s="21"/>
    </row>
    <row r="27" spans="1:10" ht="12">
      <c r="A27" s="21"/>
      <c r="B27" s="852"/>
      <c r="C27" s="853"/>
      <c r="D27" s="842"/>
      <c r="E27" s="842"/>
      <c r="F27" s="842"/>
      <c r="G27" s="842"/>
      <c r="H27" s="849">
        <f t="shared" si="1"/>
        <v>0</v>
      </c>
      <c r="I27" s="850"/>
      <c r="J27" s="21"/>
    </row>
    <row r="28" spans="1:10" ht="12">
      <c r="A28" s="21"/>
      <c r="B28" s="852"/>
      <c r="C28" s="853"/>
      <c r="D28" s="842"/>
      <c r="E28" s="842"/>
      <c r="F28" s="842"/>
      <c r="G28" s="842"/>
      <c r="H28" s="849">
        <f t="shared" si="1"/>
        <v>0</v>
      </c>
      <c r="I28" s="850"/>
      <c r="J28" s="21"/>
    </row>
    <row r="29" spans="1:10" ht="12">
      <c r="A29" s="21"/>
      <c r="B29" s="852"/>
      <c r="C29" s="853"/>
      <c r="D29" s="842"/>
      <c r="E29" s="842"/>
      <c r="F29" s="842"/>
      <c r="G29" s="842"/>
      <c r="H29" s="849">
        <f t="shared" si="1"/>
        <v>0</v>
      </c>
      <c r="I29" s="850"/>
      <c r="J29" s="21"/>
    </row>
    <row r="30" spans="1:10" ht="12">
      <c r="A30" s="21"/>
      <c r="B30" s="852"/>
      <c r="C30" s="853"/>
      <c r="D30" s="842"/>
      <c r="E30" s="842"/>
      <c r="F30" s="842"/>
      <c r="G30" s="842"/>
      <c r="H30" s="849">
        <f t="shared" si="1"/>
        <v>0</v>
      </c>
      <c r="I30" s="850"/>
      <c r="J30" s="21"/>
    </row>
    <row r="31" spans="1:10" ht="12">
      <c r="A31" s="21"/>
      <c r="B31" s="852"/>
      <c r="C31" s="853"/>
      <c r="D31" s="842"/>
      <c r="E31" s="842"/>
      <c r="F31" s="842"/>
      <c r="G31" s="842"/>
      <c r="H31" s="849">
        <f t="shared" si="1"/>
        <v>0</v>
      </c>
      <c r="I31" s="850"/>
      <c r="J31" s="21"/>
    </row>
    <row r="32" spans="1:10" ht="12">
      <c r="A32" s="21"/>
      <c r="B32" s="852"/>
      <c r="C32" s="853"/>
      <c r="D32" s="842"/>
      <c r="E32" s="842"/>
      <c r="F32" s="842"/>
      <c r="G32" s="842"/>
      <c r="H32" s="849">
        <f t="shared" si="1"/>
        <v>0</v>
      </c>
      <c r="I32" s="850"/>
      <c r="J32" s="21"/>
    </row>
    <row r="33" spans="1:10" ht="12">
      <c r="A33" s="21"/>
      <c r="B33" s="836" t="s">
        <v>789</v>
      </c>
      <c r="C33" s="837"/>
      <c r="D33" s="849">
        <f>SUM(D24:E32)</f>
        <v>0</v>
      </c>
      <c r="E33" s="849"/>
      <c r="F33" s="849">
        <f>SUM(F24:G32)</f>
        <v>0</v>
      </c>
      <c r="G33" s="849"/>
      <c r="H33" s="849">
        <f t="shared" si="1"/>
        <v>0</v>
      </c>
      <c r="I33" s="850"/>
      <c r="J33" s="21"/>
    </row>
    <row r="34" spans="1:10" ht="12">
      <c r="A34" s="21"/>
      <c r="B34" s="836"/>
      <c r="C34" s="837"/>
      <c r="D34" s="849"/>
      <c r="E34" s="849"/>
      <c r="F34" s="849"/>
      <c r="G34" s="849"/>
      <c r="H34" s="849"/>
      <c r="I34" s="850"/>
      <c r="J34" s="21"/>
    </row>
    <row r="35" spans="1:10" ht="12">
      <c r="A35" s="21"/>
      <c r="B35" s="843" t="s">
        <v>766</v>
      </c>
      <c r="C35" s="709"/>
      <c r="D35" s="847">
        <f>+D21+D33</f>
        <v>0</v>
      </c>
      <c r="E35" s="847"/>
      <c r="F35" s="847">
        <f>+F21+F33</f>
        <v>0</v>
      </c>
      <c r="G35" s="847"/>
      <c r="H35" s="847">
        <f>+H21+H33</f>
        <v>0</v>
      </c>
      <c r="I35" s="848"/>
      <c r="J35" s="21"/>
    </row>
    <row r="36" spans="2:9" ht="12" customHeight="1">
      <c r="B36" s="841" t="s">
        <v>149</v>
      </c>
      <c r="C36" s="841"/>
      <c r="D36" s="841"/>
      <c r="E36" s="841"/>
      <c r="F36" s="841"/>
      <c r="G36" s="841"/>
      <c r="H36" s="841"/>
      <c r="I36" s="841"/>
    </row>
    <row r="37" spans="2:9" ht="12" customHeight="1">
      <c r="B37" s="584"/>
      <c r="C37" s="584"/>
      <c r="D37" s="584"/>
      <c r="E37" s="584"/>
      <c r="F37" s="584"/>
      <c r="G37" s="584"/>
      <c r="H37" s="584"/>
      <c r="I37" s="584"/>
    </row>
    <row r="38" spans="2:9" ht="12" customHeight="1">
      <c r="B38" s="584"/>
      <c r="C38" s="584"/>
      <c r="D38" s="584"/>
      <c r="E38" s="584"/>
      <c r="F38" s="584"/>
      <c r="G38" s="584"/>
      <c r="H38" s="584"/>
      <c r="I38" s="584"/>
    </row>
    <row r="39" spans="2:9" ht="12" customHeight="1">
      <c r="B39" s="584"/>
      <c r="C39" s="584"/>
      <c r="D39" s="584"/>
      <c r="E39" s="584"/>
      <c r="F39" s="584"/>
      <c r="G39" s="584"/>
      <c r="H39" s="584"/>
      <c r="I39" s="584"/>
    </row>
    <row r="40" spans="2:9" ht="12" customHeight="1">
      <c r="B40" s="584"/>
      <c r="C40" s="584"/>
      <c r="D40" s="584"/>
      <c r="E40" s="584"/>
      <c r="F40" s="584"/>
      <c r="G40" s="584"/>
      <c r="H40" s="584"/>
      <c r="I40" s="584"/>
    </row>
    <row r="42" spans="2:9" ht="12">
      <c r="B42" s="851"/>
      <c r="C42" s="851"/>
      <c r="D42" s="851"/>
      <c r="E42" s="63"/>
      <c r="F42" s="854"/>
      <c r="G42" s="854"/>
      <c r="H42" s="63"/>
      <c r="I42" s="63"/>
    </row>
    <row r="43" spans="2:9" ht="15" customHeight="1">
      <c r="B43" s="795" t="str">
        <f>+ENTE!D10</f>
        <v>ING. ENRIQUE DE ECHAVARRI LARY</v>
      </c>
      <c r="C43" s="795"/>
      <c r="D43" s="795"/>
      <c r="E43" s="25"/>
      <c r="F43" s="795" t="str">
        <f>+ENTE!D14</f>
        <v>LIC. RICARDO SALVADOR BACA MUÑOZ</v>
      </c>
      <c r="G43" s="795"/>
      <c r="H43" s="795"/>
      <c r="I43" s="795"/>
    </row>
    <row r="44" spans="2:9" ht="15" customHeight="1">
      <c r="B44" s="796" t="str">
        <f>+ENTE!D12</f>
        <v>COORDINADOR GENERAL </v>
      </c>
      <c r="C44" s="796"/>
      <c r="D44" s="796"/>
      <c r="E44" s="70"/>
      <c r="F44" s="796" t="str">
        <f>+ENTE!D16</f>
        <v>DIRECTOR DE ADMINISTRACION</v>
      </c>
      <c r="G44" s="796"/>
      <c r="H44" s="796"/>
      <c r="I44" s="796"/>
    </row>
    <row r="45" spans="3:9" ht="12">
      <c r="C45" s="20"/>
      <c r="D45" s="20"/>
      <c r="E45" s="585"/>
      <c r="F45" s="20"/>
      <c r="G45" s="20"/>
      <c r="H45" s="21"/>
      <c r="I45" s="21"/>
    </row>
  </sheetData>
  <sheetProtection selectLockedCells="1"/>
  <mergeCells count="114">
    <mergeCell ref="B2:I2"/>
    <mergeCell ref="B3:I3"/>
    <mergeCell ref="B4:I4"/>
    <mergeCell ref="B5:I5"/>
    <mergeCell ref="C7:I7"/>
    <mergeCell ref="B9:C9"/>
    <mergeCell ref="D9:E9"/>
    <mergeCell ref="F9:G9"/>
    <mergeCell ref="H9:I9"/>
    <mergeCell ref="B10:C10"/>
    <mergeCell ref="D10:E10"/>
    <mergeCell ref="F10:G10"/>
    <mergeCell ref="H10:I10"/>
    <mergeCell ref="B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6:C16"/>
    <mergeCell ref="D16:E16"/>
    <mergeCell ref="F16:G16"/>
    <mergeCell ref="H16:I16"/>
    <mergeCell ref="F15:G15"/>
    <mergeCell ref="H15:I15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B18:C18"/>
    <mergeCell ref="D18:E18"/>
    <mergeCell ref="F18:G18"/>
    <mergeCell ref="H18:I18"/>
    <mergeCell ref="B19:C19"/>
    <mergeCell ref="D19:E19"/>
    <mergeCell ref="F19:G19"/>
    <mergeCell ref="H19:I19"/>
    <mergeCell ref="D20:E20"/>
    <mergeCell ref="F20:G20"/>
    <mergeCell ref="H20:I20"/>
    <mergeCell ref="B21:C21"/>
    <mergeCell ref="D21:E21"/>
    <mergeCell ref="F21:G21"/>
    <mergeCell ref="H21:I21"/>
    <mergeCell ref="B20:C20"/>
    <mergeCell ref="B30:C30"/>
    <mergeCell ref="D30:E30"/>
    <mergeCell ref="F30:G30"/>
    <mergeCell ref="H30:I30"/>
    <mergeCell ref="B31:C31"/>
    <mergeCell ref="D31:E31"/>
    <mergeCell ref="F31:G31"/>
    <mergeCell ref="H31:I31"/>
    <mergeCell ref="B22:C22"/>
    <mergeCell ref="D22:E22"/>
    <mergeCell ref="F22:G22"/>
    <mergeCell ref="H22:I22"/>
    <mergeCell ref="B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6:I36"/>
    <mergeCell ref="F42:G42"/>
    <mergeCell ref="D33:E33"/>
    <mergeCell ref="F33:G33"/>
    <mergeCell ref="H33:I33"/>
    <mergeCell ref="B35:C35"/>
    <mergeCell ref="F43:I43"/>
    <mergeCell ref="F44:I44"/>
    <mergeCell ref="B42:D42"/>
    <mergeCell ref="B43:D43"/>
    <mergeCell ref="B44:D44"/>
    <mergeCell ref="B32:C32"/>
    <mergeCell ref="D32:E32"/>
    <mergeCell ref="F32:G32"/>
    <mergeCell ref="H32:I32"/>
    <mergeCell ref="B33:C33"/>
    <mergeCell ref="D35:E35"/>
    <mergeCell ref="F35:G35"/>
    <mergeCell ref="H35:I35"/>
    <mergeCell ref="B34:C34"/>
    <mergeCell ref="D34:E34"/>
    <mergeCell ref="F34:G34"/>
    <mergeCell ref="H34:I3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5" horizontalDpi="600" verticalDpi="600" orientation="landscape" scale="98" r:id="rId1"/>
  <headerFooter>
    <oddFooter>&amp;C&amp;A&amp;RPágina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zoomScaleSheetLayoutView="70" zoomScalePageLayoutView="0" workbookViewId="0" topLeftCell="D1">
      <selection activeCell="F18" sqref="F18"/>
    </sheetView>
  </sheetViews>
  <sheetFormatPr defaultColWidth="11.421875" defaultRowHeight="15"/>
  <cols>
    <col min="1" max="1" width="2.140625" style="593" bestFit="1" customWidth="1"/>
    <col min="2" max="2" width="3.421875" style="593" bestFit="1" customWidth="1"/>
    <col min="3" max="3" width="86.421875" style="593" customWidth="1"/>
    <col min="4" max="4" width="22.7109375" style="593" customWidth="1"/>
    <col min="5" max="5" width="56.421875" style="593" bestFit="1" customWidth="1"/>
    <col min="6" max="6" width="24.140625" style="593" customWidth="1"/>
    <col min="7" max="7" width="17.00390625" style="593" customWidth="1"/>
    <col min="8" max="8" width="18.28125" style="593" bestFit="1" customWidth="1"/>
    <col min="9" max="9" width="16.00390625" style="593" customWidth="1"/>
    <col min="10" max="10" width="24.140625" style="593" bestFit="1" customWidth="1"/>
    <col min="11" max="11" width="21.140625" style="593" customWidth="1"/>
    <col min="12" max="16384" width="11.421875" style="593" customWidth="1"/>
  </cols>
  <sheetData>
    <row r="1" spans="1:11" ht="12.75">
      <c r="A1" s="866"/>
      <c r="B1" s="867"/>
      <c r="C1" s="867"/>
      <c r="D1" s="867"/>
      <c r="E1" s="867"/>
      <c r="F1" s="867"/>
      <c r="G1" s="867"/>
      <c r="H1" s="867"/>
      <c r="I1" s="867"/>
      <c r="J1" s="867"/>
      <c r="K1" s="868"/>
    </row>
    <row r="2" spans="1:11" ht="12.75">
      <c r="A2" s="869" t="s">
        <v>827</v>
      </c>
      <c r="B2" s="870"/>
      <c r="C2" s="870"/>
      <c r="D2" s="870"/>
      <c r="E2" s="870"/>
      <c r="F2" s="870"/>
      <c r="G2" s="870"/>
      <c r="H2" s="870"/>
      <c r="I2" s="870"/>
      <c r="J2" s="870"/>
      <c r="K2" s="871"/>
    </row>
    <row r="3" spans="1:11" ht="12.75">
      <c r="A3" s="869" t="s">
        <v>828</v>
      </c>
      <c r="B3" s="870"/>
      <c r="C3" s="870"/>
      <c r="D3" s="870"/>
      <c r="E3" s="870"/>
      <c r="F3" s="870"/>
      <c r="G3" s="870"/>
      <c r="H3" s="870"/>
      <c r="I3" s="870"/>
      <c r="J3" s="870"/>
      <c r="K3" s="871"/>
    </row>
    <row r="4" spans="1:11" ht="12.75">
      <c r="A4" s="869" t="s">
        <v>829</v>
      </c>
      <c r="B4" s="870"/>
      <c r="C4" s="870"/>
      <c r="D4" s="870"/>
      <c r="E4" s="870"/>
      <c r="F4" s="870"/>
      <c r="G4" s="870"/>
      <c r="H4" s="870"/>
      <c r="I4" s="870"/>
      <c r="J4" s="870"/>
      <c r="K4" s="871"/>
    </row>
    <row r="5" spans="1:11" ht="12.75">
      <c r="A5" s="594"/>
      <c r="B5" s="595"/>
      <c r="C5" s="595"/>
      <c r="D5" s="595"/>
      <c r="E5" s="595"/>
      <c r="F5" s="595"/>
      <c r="G5" s="595"/>
      <c r="H5" s="595"/>
      <c r="I5" s="595"/>
      <c r="J5" s="595"/>
      <c r="K5" s="596"/>
    </row>
    <row r="6" spans="1:11" ht="12.75">
      <c r="A6" s="594"/>
      <c r="B6" s="595"/>
      <c r="C6" s="597" t="s">
        <v>4</v>
      </c>
      <c r="D6" s="872" t="s">
        <v>797</v>
      </c>
      <c r="E6" s="872"/>
      <c r="F6" s="872"/>
      <c r="G6" s="872"/>
      <c r="H6" s="872"/>
      <c r="I6" s="872"/>
      <c r="J6" s="872"/>
      <c r="K6" s="596"/>
    </row>
    <row r="7" spans="1:11" ht="13.5" thickBot="1">
      <c r="A7" s="873"/>
      <c r="B7" s="874"/>
      <c r="C7" s="874"/>
      <c r="D7" s="874"/>
      <c r="E7" s="874"/>
      <c r="F7" s="874"/>
      <c r="G7" s="874"/>
      <c r="H7" s="874"/>
      <c r="I7" s="874"/>
      <c r="J7" s="874"/>
      <c r="K7" s="875"/>
    </row>
    <row r="8" spans="1:11" ht="16.5" thickBot="1">
      <c r="A8" s="876" t="s">
        <v>830</v>
      </c>
      <c r="B8" s="877"/>
      <c r="C8" s="878"/>
      <c r="D8" s="885" t="s">
        <v>831</v>
      </c>
      <c r="E8" s="886"/>
      <c r="F8" s="886"/>
      <c r="G8" s="887"/>
      <c r="H8" s="888" t="s">
        <v>832</v>
      </c>
      <c r="I8" s="887"/>
      <c r="J8" s="889" t="s">
        <v>833</v>
      </c>
      <c r="K8" s="892" t="s">
        <v>834</v>
      </c>
    </row>
    <row r="9" spans="1:11" ht="16.5" thickBot="1">
      <c r="A9" s="879"/>
      <c r="B9" s="880"/>
      <c r="C9" s="881"/>
      <c r="D9" s="895" t="s">
        <v>835</v>
      </c>
      <c r="E9" s="896"/>
      <c r="F9" s="897" t="s">
        <v>836</v>
      </c>
      <c r="G9" s="896"/>
      <c r="H9" s="598"/>
      <c r="I9" s="598"/>
      <c r="J9" s="890"/>
      <c r="K9" s="893"/>
    </row>
    <row r="10" spans="1:11" ht="48" thickBot="1">
      <c r="A10" s="882"/>
      <c r="B10" s="883"/>
      <c r="C10" s="884"/>
      <c r="D10" s="599"/>
      <c r="E10" s="600" t="s">
        <v>837</v>
      </c>
      <c r="F10" s="600"/>
      <c r="G10" s="600" t="s">
        <v>838</v>
      </c>
      <c r="H10" s="601" t="s">
        <v>839</v>
      </c>
      <c r="I10" s="602" t="s">
        <v>840</v>
      </c>
      <c r="J10" s="891"/>
      <c r="K10" s="894"/>
    </row>
    <row r="11" spans="1:11" ht="28.5" customHeight="1" thickBot="1">
      <c r="A11" s="898" t="s">
        <v>841</v>
      </c>
      <c r="B11" s="899"/>
      <c r="C11" s="899"/>
      <c r="D11" s="899"/>
      <c r="E11" s="899"/>
      <c r="F11" s="899"/>
      <c r="G11" s="899"/>
      <c r="H11" s="603"/>
      <c r="I11" s="603"/>
      <c r="J11" s="603"/>
      <c r="K11" s="604"/>
    </row>
    <row r="12" spans="1:11" ht="28.5" customHeight="1" thickBot="1">
      <c r="A12" s="900" t="s">
        <v>842</v>
      </c>
      <c r="B12" s="901"/>
      <c r="C12" s="901"/>
      <c r="D12" s="901"/>
      <c r="E12" s="901"/>
      <c r="F12" s="901"/>
      <c r="G12" s="901"/>
      <c r="H12" s="605"/>
      <c r="I12" s="605"/>
      <c r="J12" s="605"/>
      <c r="K12" s="606"/>
    </row>
    <row r="13" spans="1:11" ht="28.5" customHeight="1" thickBot="1">
      <c r="A13" s="607">
        <v>1</v>
      </c>
      <c r="B13" s="902" t="s">
        <v>843</v>
      </c>
      <c r="C13" s="902"/>
      <c r="D13" s="608"/>
      <c r="E13" s="609"/>
      <c r="F13" s="608"/>
      <c r="G13" s="609"/>
      <c r="H13" s="608"/>
      <c r="I13" s="608"/>
      <c r="J13" s="608"/>
      <c r="K13" s="610"/>
    </row>
    <row r="14" spans="1:11" ht="28.5" customHeight="1" thickBot="1">
      <c r="A14" s="611"/>
      <c r="B14" s="612" t="s">
        <v>844</v>
      </c>
      <c r="C14" s="613" t="s">
        <v>845</v>
      </c>
      <c r="D14" s="614" t="s">
        <v>835</v>
      </c>
      <c r="E14" s="615" t="s">
        <v>846</v>
      </c>
      <c r="F14" s="615"/>
      <c r="G14" s="616">
        <v>43008</v>
      </c>
      <c r="H14" s="617">
        <v>0</v>
      </c>
      <c r="I14" s="614" t="s">
        <v>847</v>
      </c>
      <c r="J14" s="615" t="s">
        <v>848</v>
      </c>
      <c r="K14" s="615"/>
    </row>
    <row r="15" spans="1:11" ht="28.5" customHeight="1" thickBot="1">
      <c r="A15" s="611"/>
      <c r="B15" s="612" t="s">
        <v>849</v>
      </c>
      <c r="C15" s="613" t="s">
        <v>243</v>
      </c>
      <c r="D15" s="618" t="s">
        <v>835</v>
      </c>
      <c r="E15" s="619" t="s">
        <v>850</v>
      </c>
      <c r="F15" s="619"/>
      <c r="G15" s="616">
        <v>43008</v>
      </c>
      <c r="H15" s="620">
        <v>7002457993</v>
      </c>
      <c r="I15" s="618" t="s">
        <v>847</v>
      </c>
      <c r="J15" s="619" t="s">
        <v>848</v>
      </c>
      <c r="K15" s="619"/>
    </row>
    <row r="16" spans="1:11" ht="28.5" customHeight="1" thickBot="1">
      <c r="A16" s="611"/>
      <c r="B16" s="612" t="s">
        <v>851</v>
      </c>
      <c r="C16" s="613" t="s">
        <v>852</v>
      </c>
      <c r="D16" s="618" t="s">
        <v>835</v>
      </c>
      <c r="E16" s="619" t="s">
        <v>853</v>
      </c>
      <c r="F16" s="619"/>
      <c r="G16" s="616">
        <v>43008</v>
      </c>
      <c r="H16" s="621">
        <v>3132300460.1</v>
      </c>
      <c r="I16" s="618" t="s">
        <v>847</v>
      </c>
      <c r="J16" s="622" t="s">
        <v>848</v>
      </c>
      <c r="K16" s="619"/>
    </row>
    <row r="17" spans="1:11" ht="28.5" customHeight="1" thickBot="1">
      <c r="A17" s="607">
        <v>2</v>
      </c>
      <c r="B17" s="902" t="s">
        <v>854</v>
      </c>
      <c r="C17" s="902"/>
      <c r="D17" s="623"/>
      <c r="E17" s="623"/>
      <c r="F17" s="623"/>
      <c r="G17" s="624"/>
      <c r="H17" s="623"/>
      <c r="I17" s="623"/>
      <c r="J17" s="608"/>
      <c r="K17" s="625"/>
    </row>
    <row r="18" spans="1:11" ht="28.5" customHeight="1" thickBot="1">
      <c r="A18" s="611"/>
      <c r="B18" s="612" t="s">
        <v>844</v>
      </c>
      <c r="C18" s="613" t="s">
        <v>845</v>
      </c>
      <c r="D18" s="614" t="s">
        <v>835</v>
      </c>
      <c r="E18" s="615" t="s">
        <v>846</v>
      </c>
      <c r="F18" s="615"/>
      <c r="G18" s="616">
        <v>43008</v>
      </c>
      <c r="H18" s="626">
        <v>0</v>
      </c>
      <c r="I18" s="614" t="s">
        <v>847</v>
      </c>
      <c r="J18" s="615" t="s">
        <v>848</v>
      </c>
      <c r="K18" s="615"/>
    </row>
    <row r="19" spans="1:11" ht="28.5" customHeight="1" thickBot="1">
      <c r="A19" s="611"/>
      <c r="B19" s="612" t="s">
        <v>849</v>
      </c>
      <c r="C19" s="613" t="s">
        <v>243</v>
      </c>
      <c r="D19" s="618" t="s">
        <v>835</v>
      </c>
      <c r="E19" s="619" t="s">
        <v>850</v>
      </c>
      <c r="F19" s="619"/>
      <c r="G19" s="616">
        <v>43008</v>
      </c>
      <c r="H19" s="620">
        <v>7002457993</v>
      </c>
      <c r="I19" s="618" t="s">
        <v>847</v>
      </c>
      <c r="J19" s="619" t="s">
        <v>848</v>
      </c>
      <c r="K19" s="619"/>
    </row>
    <row r="20" spans="1:11" ht="28.5" customHeight="1" thickBot="1">
      <c r="A20" s="611"/>
      <c r="B20" s="612" t="s">
        <v>851</v>
      </c>
      <c r="C20" s="613" t="s">
        <v>852</v>
      </c>
      <c r="D20" s="618" t="s">
        <v>835</v>
      </c>
      <c r="E20" s="619" t="s">
        <v>853</v>
      </c>
      <c r="F20" s="619"/>
      <c r="G20" s="616">
        <v>43008</v>
      </c>
      <c r="H20" s="621">
        <v>3132300460.1</v>
      </c>
      <c r="I20" s="618" t="s">
        <v>847</v>
      </c>
      <c r="J20" s="622" t="s">
        <v>848</v>
      </c>
      <c r="K20" s="619"/>
    </row>
    <row r="21" spans="1:11" ht="28.5" customHeight="1" thickBot="1">
      <c r="A21" s="607">
        <v>3</v>
      </c>
      <c r="B21" s="902" t="s">
        <v>855</v>
      </c>
      <c r="C21" s="902"/>
      <c r="D21" s="623"/>
      <c r="E21" s="623"/>
      <c r="F21" s="623"/>
      <c r="G21" s="624"/>
      <c r="H21" s="623"/>
      <c r="I21" s="623"/>
      <c r="J21" s="608"/>
      <c r="K21" s="625"/>
    </row>
    <row r="22" spans="1:11" ht="28.5" customHeight="1" thickBot="1">
      <c r="A22" s="611"/>
      <c r="B22" s="612" t="s">
        <v>844</v>
      </c>
      <c r="C22" s="613" t="s">
        <v>845</v>
      </c>
      <c r="D22" s="614" t="s">
        <v>856</v>
      </c>
      <c r="E22" s="615" t="s">
        <v>857</v>
      </c>
      <c r="F22" s="615"/>
      <c r="G22" s="627"/>
      <c r="H22" s="627">
        <v>0</v>
      </c>
      <c r="I22" s="614" t="s">
        <v>847</v>
      </c>
      <c r="J22" s="615" t="s">
        <v>858</v>
      </c>
      <c r="K22" s="615"/>
    </row>
    <row r="23" spans="1:11" ht="28.5" customHeight="1" thickBot="1">
      <c r="A23" s="611"/>
      <c r="B23" s="612" t="s">
        <v>849</v>
      </c>
      <c r="C23" s="613" t="s">
        <v>243</v>
      </c>
      <c r="D23" s="618" t="s">
        <v>856</v>
      </c>
      <c r="E23" s="619" t="s">
        <v>859</v>
      </c>
      <c r="F23" s="619"/>
      <c r="G23" s="628"/>
      <c r="H23" s="628">
        <v>0</v>
      </c>
      <c r="I23" s="618" t="s">
        <v>847</v>
      </c>
      <c r="J23" s="619" t="s">
        <v>858</v>
      </c>
      <c r="K23" s="619"/>
    </row>
    <row r="24" spans="1:11" ht="28.5" customHeight="1" thickBot="1">
      <c r="A24" s="611"/>
      <c r="B24" s="612" t="s">
        <v>851</v>
      </c>
      <c r="C24" s="613" t="s">
        <v>852</v>
      </c>
      <c r="D24" s="618" t="s">
        <v>856</v>
      </c>
      <c r="E24" s="619" t="s">
        <v>853</v>
      </c>
      <c r="F24" s="619"/>
      <c r="G24" s="628"/>
      <c r="H24" s="628">
        <v>0</v>
      </c>
      <c r="I24" s="618" t="s">
        <v>847</v>
      </c>
      <c r="J24" s="622" t="s">
        <v>858</v>
      </c>
      <c r="K24" s="619"/>
    </row>
    <row r="25" spans="1:11" ht="28.5" customHeight="1" thickBot="1">
      <c r="A25" s="607">
        <v>4</v>
      </c>
      <c r="B25" s="902" t="s">
        <v>860</v>
      </c>
      <c r="C25" s="902"/>
      <c r="D25" s="623"/>
      <c r="E25" s="623"/>
      <c r="F25" s="623"/>
      <c r="G25" s="624"/>
      <c r="H25" s="623"/>
      <c r="I25" s="623"/>
      <c r="J25" s="608"/>
      <c r="K25" s="625"/>
    </row>
    <row r="26" spans="1:11" ht="28.5" customHeight="1" thickBot="1">
      <c r="A26" s="629"/>
      <c r="B26" s="630" t="s">
        <v>844</v>
      </c>
      <c r="C26" s="631" t="s">
        <v>861</v>
      </c>
      <c r="D26" s="608"/>
      <c r="E26" s="608"/>
      <c r="F26" s="608"/>
      <c r="G26" s="609"/>
      <c r="H26" s="608"/>
      <c r="I26" s="608"/>
      <c r="J26" s="608"/>
      <c r="K26" s="610"/>
    </row>
    <row r="27" spans="1:11" ht="28.5" customHeight="1" thickBot="1">
      <c r="A27" s="611"/>
      <c r="B27" s="612"/>
      <c r="C27" s="632" t="s">
        <v>862</v>
      </c>
      <c r="D27" s="614" t="s">
        <v>856</v>
      </c>
      <c r="E27" s="615" t="s">
        <v>863</v>
      </c>
      <c r="F27" s="615"/>
      <c r="G27" s="627"/>
      <c r="H27" s="627">
        <v>0</v>
      </c>
      <c r="I27" s="614" t="s">
        <v>847</v>
      </c>
      <c r="J27" s="615" t="s">
        <v>864</v>
      </c>
      <c r="K27" s="615"/>
    </row>
    <row r="28" spans="1:11" ht="28.5" customHeight="1" thickBot="1">
      <c r="A28" s="611"/>
      <c r="B28" s="612"/>
      <c r="C28" s="632" t="s">
        <v>865</v>
      </c>
      <c r="D28" s="618" t="s">
        <v>856</v>
      </c>
      <c r="E28" s="619" t="s">
        <v>866</v>
      </c>
      <c r="F28" s="619"/>
      <c r="G28" s="628"/>
      <c r="H28" s="628">
        <v>0</v>
      </c>
      <c r="I28" s="618" t="s">
        <v>847</v>
      </c>
      <c r="J28" s="619" t="s">
        <v>864</v>
      </c>
      <c r="K28" s="619"/>
    </row>
    <row r="29" spans="1:11" ht="28.5" customHeight="1" thickBot="1">
      <c r="A29" s="633"/>
      <c r="B29" s="612" t="s">
        <v>849</v>
      </c>
      <c r="C29" s="613" t="s">
        <v>867</v>
      </c>
      <c r="D29" s="634" t="s">
        <v>856</v>
      </c>
      <c r="E29" s="619" t="s">
        <v>868</v>
      </c>
      <c r="F29" s="635"/>
      <c r="G29" s="628"/>
      <c r="H29" s="628">
        <v>0</v>
      </c>
      <c r="I29" s="618" t="s">
        <v>847</v>
      </c>
      <c r="J29" s="619" t="s">
        <v>864</v>
      </c>
      <c r="K29" s="619"/>
    </row>
    <row r="30" spans="1:11" ht="28.5" customHeight="1" thickBot="1">
      <c r="A30" s="633"/>
      <c r="B30" s="612" t="s">
        <v>851</v>
      </c>
      <c r="C30" s="613" t="s">
        <v>869</v>
      </c>
      <c r="D30" s="636" t="s">
        <v>856</v>
      </c>
      <c r="E30" s="622" t="s">
        <v>870</v>
      </c>
      <c r="F30" s="625"/>
      <c r="G30" s="637"/>
      <c r="H30" s="637">
        <v>0</v>
      </c>
      <c r="I30" s="638" t="s">
        <v>847</v>
      </c>
      <c r="J30" s="622" t="s">
        <v>864</v>
      </c>
      <c r="K30" s="622"/>
    </row>
    <row r="31" spans="1:11" ht="28.5" customHeight="1" thickBot="1">
      <c r="A31" s="633"/>
      <c r="B31" s="612" t="s">
        <v>871</v>
      </c>
      <c r="C31" s="613" t="s">
        <v>872</v>
      </c>
      <c r="D31" s="639" t="s">
        <v>856</v>
      </c>
      <c r="E31" s="640" t="s">
        <v>868</v>
      </c>
      <c r="F31" s="610"/>
      <c r="G31" s="641"/>
      <c r="H31" s="641">
        <v>0</v>
      </c>
      <c r="I31" s="642" t="s">
        <v>847</v>
      </c>
      <c r="J31" s="640" t="s">
        <v>864</v>
      </c>
      <c r="K31" s="640"/>
    </row>
    <row r="32" spans="1:11" ht="28.5" customHeight="1" thickBot="1">
      <c r="A32" s="643"/>
      <c r="B32" s="644"/>
      <c r="C32" s="644"/>
      <c r="D32" s="644"/>
      <c r="E32" s="644"/>
      <c r="F32" s="644"/>
      <c r="G32" s="644"/>
      <c r="H32" s="644"/>
      <c r="I32" s="644"/>
      <c r="J32" s="644"/>
      <c r="K32" s="644"/>
    </row>
    <row r="33" spans="1:11" ht="28.5" customHeight="1" thickBot="1">
      <c r="A33" s="645">
        <v>5</v>
      </c>
      <c r="B33" s="902" t="s">
        <v>873</v>
      </c>
      <c r="C33" s="902"/>
      <c r="D33" s="623"/>
      <c r="E33" s="623"/>
      <c r="F33" s="623"/>
      <c r="G33" s="624"/>
      <c r="H33" s="623"/>
      <c r="I33" s="623"/>
      <c r="J33" s="623"/>
      <c r="K33" s="625"/>
    </row>
    <row r="34" spans="1:11" ht="28.5" customHeight="1" thickBot="1">
      <c r="A34" s="611"/>
      <c r="B34" s="612" t="s">
        <v>874</v>
      </c>
      <c r="C34" s="613" t="s">
        <v>875</v>
      </c>
      <c r="D34" s="638" t="s">
        <v>835</v>
      </c>
      <c r="E34" s="615" t="s">
        <v>876</v>
      </c>
      <c r="F34" s="646"/>
      <c r="G34" s="616">
        <v>43008</v>
      </c>
      <c r="H34" s="647">
        <v>6558454396</v>
      </c>
      <c r="I34" s="614" t="s">
        <v>847</v>
      </c>
      <c r="J34" s="615" t="s">
        <v>877</v>
      </c>
      <c r="K34" s="615"/>
    </row>
    <row r="35" spans="1:11" ht="28.5" customHeight="1" thickBot="1">
      <c r="A35" s="611"/>
      <c r="B35" s="612" t="s">
        <v>878</v>
      </c>
      <c r="C35" s="613" t="s">
        <v>852</v>
      </c>
      <c r="D35" s="638" t="s">
        <v>835</v>
      </c>
      <c r="E35" s="619" t="s">
        <v>876</v>
      </c>
      <c r="F35" s="628"/>
      <c r="G35" s="616">
        <v>43008</v>
      </c>
      <c r="H35" s="621">
        <v>3111363512.4099994</v>
      </c>
      <c r="I35" s="618" t="s">
        <v>847</v>
      </c>
      <c r="J35" s="622" t="s">
        <v>879</v>
      </c>
      <c r="K35" s="619"/>
    </row>
    <row r="36" spans="1:11" ht="28.5" customHeight="1" thickBot="1">
      <c r="A36" s="607">
        <v>6</v>
      </c>
      <c r="B36" s="902" t="s">
        <v>880</v>
      </c>
      <c r="C36" s="902"/>
      <c r="D36" s="623"/>
      <c r="E36" s="623"/>
      <c r="F36" s="623"/>
      <c r="G36" s="624"/>
      <c r="H36" s="623"/>
      <c r="I36" s="623"/>
      <c r="J36" s="608"/>
      <c r="K36" s="625"/>
    </row>
    <row r="37" spans="1:11" ht="28.5" customHeight="1" thickBot="1">
      <c r="A37" s="611"/>
      <c r="B37" s="612" t="s">
        <v>874</v>
      </c>
      <c r="C37" s="613" t="s">
        <v>875</v>
      </c>
      <c r="D37" s="614" t="s">
        <v>856</v>
      </c>
      <c r="E37" s="615" t="s">
        <v>881</v>
      </c>
      <c r="F37" s="615"/>
      <c r="G37" s="627"/>
      <c r="H37" s="648">
        <v>0</v>
      </c>
      <c r="I37" s="614" t="s">
        <v>847</v>
      </c>
      <c r="J37" s="640" t="s">
        <v>882</v>
      </c>
      <c r="K37" s="615"/>
    </row>
    <row r="38" spans="1:11" ht="28.5" customHeight="1" thickBot="1">
      <c r="A38" s="607">
        <v>7</v>
      </c>
      <c r="B38" s="902" t="s">
        <v>883</v>
      </c>
      <c r="C38" s="902"/>
      <c r="D38" s="623"/>
      <c r="E38" s="623"/>
      <c r="F38" s="623"/>
      <c r="G38" s="624"/>
      <c r="H38" s="623"/>
      <c r="I38" s="623"/>
      <c r="J38" s="608"/>
      <c r="K38" s="625"/>
    </row>
    <row r="39" spans="1:11" ht="28.5" customHeight="1" thickBot="1">
      <c r="A39" s="611"/>
      <c r="B39" s="612" t="s">
        <v>874</v>
      </c>
      <c r="C39" s="613" t="s">
        <v>845</v>
      </c>
      <c r="D39" s="642"/>
      <c r="E39" s="640" t="s">
        <v>884</v>
      </c>
      <c r="F39" s="640"/>
      <c r="G39" s="616">
        <v>43008</v>
      </c>
      <c r="H39" s="647">
        <v>17783604.64</v>
      </c>
      <c r="I39" s="642" t="s">
        <v>847</v>
      </c>
      <c r="J39" s="615" t="s">
        <v>885</v>
      </c>
      <c r="K39" s="615"/>
    </row>
    <row r="40" spans="1:11" ht="28.5" customHeight="1" thickBot="1">
      <c r="A40" s="611"/>
      <c r="B40" s="612" t="s">
        <v>878</v>
      </c>
      <c r="C40" s="613" t="s">
        <v>243</v>
      </c>
      <c r="D40" s="638" t="s">
        <v>835</v>
      </c>
      <c r="E40" s="638" t="s">
        <v>863</v>
      </c>
      <c r="F40" s="638"/>
      <c r="G40" s="649">
        <v>43008</v>
      </c>
      <c r="H40" s="650">
        <v>17783604.64</v>
      </c>
      <c r="I40" s="638" t="s">
        <v>847</v>
      </c>
      <c r="J40" s="638" t="s">
        <v>885</v>
      </c>
      <c r="K40" s="638"/>
    </row>
    <row r="41" spans="1:11" ht="28.5" customHeight="1" thickBot="1">
      <c r="A41" s="611"/>
      <c r="B41" s="612" t="s">
        <v>851</v>
      </c>
      <c r="C41" s="613" t="s">
        <v>852</v>
      </c>
      <c r="D41" s="638" t="s">
        <v>835</v>
      </c>
      <c r="E41" s="622" t="s">
        <v>866</v>
      </c>
      <c r="F41" s="622"/>
      <c r="G41" s="616">
        <v>43008</v>
      </c>
      <c r="H41" s="651">
        <v>17405926</v>
      </c>
      <c r="I41" s="622" t="s">
        <v>847</v>
      </c>
      <c r="J41" s="622" t="s">
        <v>885</v>
      </c>
      <c r="K41" s="622"/>
    </row>
    <row r="42" spans="1:11" ht="28.5" customHeight="1" thickBot="1">
      <c r="A42" s="900" t="s">
        <v>886</v>
      </c>
      <c r="B42" s="901"/>
      <c r="C42" s="901"/>
      <c r="D42" s="901"/>
      <c r="E42" s="901"/>
      <c r="F42" s="901"/>
      <c r="G42" s="901"/>
      <c r="H42" s="605"/>
      <c r="I42" s="605"/>
      <c r="J42" s="605"/>
      <c r="K42" s="606"/>
    </row>
    <row r="43" spans="1:11" ht="28.5" customHeight="1" thickBot="1">
      <c r="A43" s="607">
        <v>1</v>
      </c>
      <c r="B43" s="902" t="s">
        <v>846</v>
      </c>
      <c r="C43" s="902"/>
      <c r="D43" s="608"/>
      <c r="E43" s="609"/>
      <c r="F43" s="608"/>
      <c r="G43" s="609"/>
      <c r="H43" s="608"/>
      <c r="I43" s="608"/>
      <c r="J43" s="608"/>
      <c r="K43" s="610"/>
    </row>
    <row r="44" spans="1:11" ht="28.5" customHeight="1" thickBot="1">
      <c r="A44" s="633"/>
      <c r="B44" s="652" t="s">
        <v>844</v>
      </c>
      <c r="C44" s="613" t="s">
        <v>887</v>
      </c>
      <c r="D44" s="618" t="s">
        <v>856</v>
      </c>
      <c r="E44" s="640" t="s">
        <v>846</v>
      </c>
      <c r="F44" s="640"/>
      <c r="G44" s="641"/>
      <c r="H44" s="653">
        <v>0</v>
      </c>
      <c r="I44" s="654"/>
      <c r="J44" s="615" t="s">
        <v>888</v>
      </c>
      <c r="K44" s="615"/>
    </row>
    <row r="45" spans="1:11" ht="28.5" customHeight="1" thickBot="1">
      <c r="A45" s="633"/>
      <c r="B45" s="652" t="s">
        <v>849</v>
      </c>
      <c r="C45" s="613" t="s">
        <v>889</v>
      </c>
      <c r="D45" s="618" t="s">
        <v>856</v>
      </c>
      <c r="E45" s="640" t="s">
        <v>890</v>
      </c>
      <c r="F45" s="640"/>
      <c r="G45" s="641"/>
      <c r="H45" s="655">
        <v>0</v>
      </c>
      <c r="I45" s="634"/>
      <c r="J45" s="619" t="s">
        <v>888</v>
      </c>
      <c r="K45" s="619"/>
    </row>
    <row r="46" spans="1:11" ht="28.5" customHeight="1" thickBot="1">
      <c r="A46" s="633"/>
      <c r="B46" s="652" t="s">
        <v>851</v>
      </c>
      <c r="C46" s="613" t="s">
        <v>891</v>
      </c>
      <c r="D46" s="638" t="s">
        <v>856</v>
      </c>
      <c r="E46" s="638" t="s">
        <v>846</v>
      </c>
      <c r="F46" s="640"/>
      <c r="G46" s="641"/>
      <c r="H46" s="655">
        <v>0</v>
      </c>
      <c r="I46" s="634"/>
      <c r="J46" s="619" t="s">
        <v>888</v>
      </c>
      <c r="K46" s="619"/>
    </row>
    <row r="47" spans="1:11" ht="28.5" customHeight="1" thickBot="1">
      <c r="A47" s="633"/>
      <c r="B47" s="652" t="s">
        <v>871</v>
      </c>
      <c r="C47" s="613" t="s">
        <v>892</v>
      </c>
      <c r="D47" s="618" t="s">
        <v>856</v>
      </c>
      <c r="E47" s="640" t="s">
        <v>893</v>
      </c>
      <c r="F47" s="640"/>
      <c r="G47" s="641"/>
      <c r="H47" s="655">
        <v>0</v>
      </c>
      <c r="I47" s="634"/>
      <c r="J47" s="619" t="s">
        <v>888</v>
      </c>
      <c r="K47" s="619"/>
    </row>
    <row r="48" spans="1:11" ht="28.5" customHeight="1" thickBot="1">
      <c r="A48" s="633"/>
      <c r="B48" s="652" t="s">
        <v>894</v>
      </c>
      <c r="C48" s="613" t="s">
        <v>895</v>
      </c>
      <c r="D48" s="638" t="s">
        <v>856</v>
      </c>
      <c r="E48" s="640" t="s">
        <v>896</v>
      </c>
      <c r="F48" s="640"/>
      <c r="G48" s="641"/>
      <c r="H48" s="655">
        <v>0</v>
      </c>
      <c r="I48" s="634"/>
      <c r="J48" s="622" t="s">
        <v>888</v>
      </c>
      <c r="K48" s="619"/>
    </row>
    <row r="49" spans="1:11" ht="28.5" customHeight="1" thickBot="1">
      <c r="A49" s="607">
        <v>2</v>
      </c>
      <c r="B49" s="902" t="s">
        <v>897</v>
      </c>
      <c r="C49" s="902"/>
      <c r="D49" s="608"/>
      <c r="E49" s="609"/>
      <c r="F49" s="608"/>
      <c r="G49" s="609"/>
      <c r="H49" s="623"/>
      <c r="I49" s="623"/>
      <c r="J49" s="608"/>
      <c r="K49" s="625"/>
    </row>
    <row r="50" spans="1:11" ht="28.5" customHeight="1" thickBot="1">
      <c r="A50" s="633"/>
      <c r="B50" s="652" t="s">
        <v>844</v>
      </c>
      <c r="C50" s="613" t="s">
        <v>898</v>
      </c>
      <c r="D50" s="618" t="s">
        <v>856</v>
      </c>
      <c r="E50" s="640" t="s">
        <v>899</v>
      </c>
      <c r="F50" s="640"/>
      <c r="G50" s="641"/>
      <c r="H50" s="653">
        <v>0</v>
      </c>
      <c r="I50" s="654"/>
      <c r="J50" s="615" t="s">
        <v>848</v>
      </c>
      <c r="K50" s="615"/>
    </row>
    <row r="51" spans="1:11" ht="28.5" customHeight="1" thickBot="1">
      <c r="A51" s="633"/>
      <c r="B51" s="652" t="s">
        <v>849</v>
      </c>
      <c r="C51" s="613" t="s">
        <v>900</v>
      </c>
      <c r="D51" s="618" t="s">
        <v>856</v>
      </c>
      <c r="E51" s="640" t="s">
        <v>899</v>
      </c>
      <c r="F51" s="640"/>
      <c r="G51" s="641"/>
      <c r="H51" s="655">
        <v>0</v>
      </c>
      <c r="I51" s="634"/>
      <c r="J51" s="619" t="s">
        <v>848</v>
      </c>
      <c r="K51" s="619"/>
    </row>
    <row r="52" spans="1:11" ht="28.5" customHeight="1" thickBot="1">
      <c r="A52" s="633"/>
      <c r="B52" s="652" t="s">
        <v>851</v>
      </c>
      <c r="C52" s="613" t="s">
        <v>901</v>
      </c>
      <c r="D52" s="618" t="s">
        <v>856</v>
      </c>
      <c r="E52" s="640" t="s">
        <v>899</v>
      </c>
      <c r="F52" s="640"/>
      <c r="G52" s="641"/>
      <c r="H52" s="623">
        <v>0</v>
      </c>
      <c r="I52" s="636"/>
      <c r="J52" s="622" t="s">
        <v>848</v>
      </c>
      <c r="K52" s="622"/>
    </row>
    <row r="53" spans="1:11" ht="28.5" customHeight="1" thickBot="1">
      <c r="A53" s="633"/>
      <c r="B53" s="652" t="s">
        <v>871</v>
      </c>
      <c r="C53" s="613" t="s">
        <v>902</v>
      </c>
      <c r="D53" s="638" t="s">
        <v>856</v>
      </c>
      <c r="E53" s="640" t="s">
        <v>903</v>
      </c>
      <c r="F53" s="640"/>
      <c r="G53" s="641"/>
      <c r="H53" s="608">
        <v>0</v>
      </c>
      <c r="I53" s="639"/>
      <c r="J53" s="640" t="s">
        <v>848</v>
      </c>
      <c r="K53" s="640"/>
    </row>
    <row r="54" spans="1:11" ht="28.5" customHeight="1" thickBot="1">
      <c r="A54" s="643"/>
      <c r="B54" s="644"/>
      <c r="C54" s="644"/>
      <c r="D54" s="644"/>
      <c r="E54" s="644"/>
      <c r="F54" s="644"/>
      <c r="G54" s="644"/>
      <c r="H54" s="644"/>
      <c r="I54" s="644"/>
      <c r="J54" s="644"/>
      <c r="K54" s="644"/>
    </row>
    <row r="55" spans="1:11" ht="28.5" customHeight="1" thickBot="1">
      <c r="A55" s="645">
        <v>3</v>
      </c>
      <c r="B55" s="902" t="s">
        <v>213</v>
      </c>
      <c r="C55" s="902"/>
      <c r="D55" s="623"/>
      <c r="E55" s="624"/>
      <c r="F55" s="623"/>
      <c r="G55" s="624"/>
      <c r="H55" s="623"/>
      <c r="I55" s="623"/>
      <c r="J55" s="623"/>
      <c r="K55" s="625"/>
    </row>
    <row r="56" spans="1:11" ht="28.5" customHeight="1" thickBot="1">
      <c r="A56" s="633"/>
      <c r="B56" s="652" t="s">
        <v>874</v>
      </c>
      <c r="C56" s="613" t="s">
        <v>904</v>
      </c>
      <c r="D56" s="618" t="s">
        <v>856</v>
      </c>
      <c r="E56" s="640" t="s">
        <v>905</v>
      </c>
      <c r="F56" s="640"/>
      <c r="G56" s="641"/>
      <c r="H56" s="653">
        <v>0</v>
      </c>
      <c r="I56" s="654"/>
      <c r="J56" s="615" t="s">
        <v>877</v>
      </c>
      <c r="K56" s="615"/>
    </row>
    <row r="57" spans="1:11" ht="28.5" customHeight="1" thickBot="1">
      <c r="A57" s="633"/>
      <c r="B57" s="652" t="s">
        <v>878</v>
      </c>
      <c r="C57" s="613" t="s">
        <v>906</v>
      </c>
      <c r="D57" s="638" t="s">
        <v>856</v>
      </c>
      <c r="E57" s="640" t="s">
        <v>905</v>
      </c>
      <c r="F57" s="640"/>
      <c r="G57" s="641"/>
      <c r="H57" s="623">
        <v>0</v>
      </c>
      <c r="I57" s="636"/>
      <c r="J57" s="622" t="s">
        <v>877</v>
      </c>
      <c r="K57" s="622"/>
    </row>
    <row r="58" spans="1:11" ht="28.5" customHeight="1" thickBot="1">
      <c r="A58" s="656"/>
      <c r="B58" s="657"/>
      <c r="C58" s="657"/>
      <c r="D58" s="657"/>
      <c r="E58" s="657"/>
      <c r="F58" s="657"/>
      <c r="G58" s="657"/>
      <c r="H58" s="657"/>
      <c r="I58" s="657"/>
      <c r="J58" s="657"/>
      <c r="K58" s="658"/>
    </row>
    <row r="59" spans="1:11" ht="28.5" customHeight="1" thickBot="1">
      <c r="A59" s="898" t="s">
        <v>907</v>
      </c>
      <c r="B59" s="899"/>
      <c r="C59" s="899"/>
      <c r="D59" s="899"/>
      <c r="E59" s="899"/>
      <c r="F59" s="899"/>
      <c r="G59" s="899"/>
      <c r="H59" s="659"/>
      <c r="I59" s="659"/>
      <c r="J59" s="659"/>
      <c r="K59" s="660"/>
    </row>
    <row r="60" spans="1:11" ht="28.5" customHeight="1" thickBot="1">
      <c r="A60" s="900" t="s">
        <v>842</v>
      </c>
      <c r="B60" s="901"/>
      <c r="C60" s="901"/>
      <c r="D60" s="901"/>
      <c r="E60" s="901"/>
      <c r="F60" s="901"/>
      <c r="G60" s="901"/>
      <c r="H60" s="605"/>
      <c r="I60" s="605"/>
      <c r="J60" s="605"/>
      <c r="K60" s="606"/>
    </row>
    <row r="61" spans="1:11" ht="28.5" customHeight="1" thickBot="1">
      <c r="A61" s="607">
        <v>1</v>
      </c>
      <c r="B61" s="902" t="s">
        <v>908</v>
      </c>
      <c r="C61" s="902"/>
      <c r="D61" s="608"/>
      <c r="E61" s="609"/>
      <c r="F61" s="608"/>
      <c r="G61" s="609"/>
      <c r="H61" s="608"/>
      <c r="I61" s="608"/>
      <c r="J61" s="608"/>
      <c r="K61" s="610"/>
    </row>
    <row r="62" spans="1:11" ht="28.5" customHeight="1" thickBot="1">
      <c r="A62" s="611"/>
      <c r="B62" s="612" t="s">
        <v>844</v>
      </c>
      <c r="C62" s="613" t="s">
        <v>909</v>
      </c>
      <c r="D62" s="618" t="s">
        <v>856</v>
      </c>
      <c r="E62" s="615" t="s">
        <v>910</v>
      </c>
      <c r="F62" s="615"/>
      <c r="G62" s="627"/>
      <c r="H62" s="661">
        <v>0</v>
      </c>
      <c r="I62" s="614" t="s">
        <v>847</v>
      </c>
      <c r="J62" s="615" t="s">
        <v>911</v>
      </c>
      <c r="K62" s="615"/>
    </row>
    <row r="63" spans="1:11" ht="28.5" customHeight="1" thickBot="1">
      <c r="A63" s="611"/>
      <c r="B63" s="612" t="s">
        <v>849</v>
      </c>
      <c r="C63" s="613" t="s">
        <v>912</v>
      </c>
      <c r="D63" s="618" t="s">
        <v>856</v>
      </c>
      <c r="E63" s="619" t="s">
        <v>913</v>
      </c>
      <c r="F63" s="619"/>
      <c r="G63" s="628"/>
      <c r="H63" s="648">
        <v>0</v>
      </c>
      <c r="I63" s="618" t="s">
        <v>847</v>
      </c>
      <c r="J63" s="619" t="s">
        <v>911</v>
      </c>
      <c r="K63" s="619"/>
    </row>
    <row r="64" spans="1:11" ht="28.5" customHeight="1" thickBot="1">
      <c r="A64" s="611"/>
      <c r="B64" s="612" t="s">
        <v>851</v>
      </c>
      <c r="C64" s="613" t="s">
        <v>914</v>
      </c>
      <c r="D64" s="618" t="s">
        <v>856</v>
      </c>
      <c r="E64" s="619" t="s">
        <v>913</v>
      </c>
      <c r="F64" s="619"/>
      <c r="G64" s="628"/>
      <c r="H64" s="648">
        <v>0</v>
      </c>
      <c r="I64" s="618" t="s">
        <v>847</v>
      </c>
      <c r="J64" s="619" t="s">
        <v>911</v>
      </c>
      <c r="K64" s="619"/>
    </row>
    <row r="65" spans="1:11" ht="28.5" customHeight="1" thickBot="1">
      <c r="A65" s="611"/>
      <c r="B65" s="612" t="s">
        <v>871</v>
      </c>
      <c r="C65" s="613" t="s">
        <v>915</v>
      </c>
      <c r="D65" s="618" t="s">
        <v>856</v>
      </c>
      <c r="E65" s="619" t="s">
        <v>913</v>
      </c>
      <c r="F65" s="619"/>
      <c r="G65" s="628"/>
      <c r="H65" s="648">
        <v>0</v>
      </c>
      <c r="I65" s="618" t="s">
        <v>847</v>
      </c>
      <c r="J65" s="619" t="s">
        <v>911</v>
      </c>
      <c r="K65" s="619"/>
    </row>
    <row r="66" spans="1:11" ht="28.5" customHeight="1" thickBot="1">
      <c r="A66" s="611"/>
      <c r="B66" s="612" t="s">
        <v>894</v>
      </c>
      <c r="C66" s="613" t="s">
        <v>916</v>
      </c>
      <c r="D66" s="618" t="s">
        <v>856</v>
      </c>
      <c r="E66" s="622"/>
      <c r="F66" s="622"/>
      <c r="G66" s="637"/>
      <c r="H66" s="662">
        <v>0</v>
      </c>
      <c r="I66" s="638" t="s">
        <v>847</v>
      </c>
      <c r="J66" s="622" t="s">
        <v>917</v>
      </c>
      <c r="K66" s="622"/>
    </row>
    <row r="67" spans="1:11" ht="28.5" customHeight="1" thickBot="1">
      <c r="A67" s="900" t="s">
        <v>886</v>
      </c>
      <c r="B67" s="901"/>
      <c r="C67" s="901"/>
      <c r="D67" s="901"/>
      <c r="E67" s="901"/>
      <c r="F67" s="901"/>
      <c r="G67" s="901"/>
      <c r="H67" s="605"/>
      <c r="I67" s="605"/>
      <c r="J67" s="605"/>
      <c r="K67" s="606"/>
    </row>
    <row r="68" spans="1:11" ht="28.5" customHeight="1" thickBot="1">
      <c r="A68" s="611">
        <v>1</v>
      </c>
      <c r="B68" s="904" t="s">
        <v>918</v>
      </c>
      <c r="C68" s="905"/>
      <c r="D68" s="618" t="s">
        <v>856</v>
      </c>
      <c r="E68" s="615" t="s">
        <v>919</v>
      </c>
      <c r="F68" s="615"/>
      <c r="G68" s="627"/>
      <c r="H68" s="653">
        <v>0</v>
      </c>
      <c r="I68" s="654"/>
      <c r="J68" s="615" t="s">
        <v>920</v>
      </c>
      <c r="K68" s="615"/>
    </row>
    <row r="69" spans="1:11" ht="28.5" customHeight="1" thickBot="1">
      <c r="A69" s="611">
        <v>2</v>
      </c>
      <c r="B69" s="904" t="s">
        <v>921</v>
      </c>
      <c r="C69" s="904"/>
      <c r="D69" s="638" t="s">
        <v>856</v>
      </c>
      <c r="E69" s="619" t="s">
        <v>919</v>
      </c>
      <c r="F69" s="619"/>
      <c r="G69" s="628"/>
      <c r="H69" s="655">
        <v>0</v>
      </c>
      <c r="I69" s="634"/>
      <c r="J69" s="619" t="s">
        <v>920</v>
      </c>
      <c r="K69" s="619"/>
    </row>
    <row r="70" spans="1:11" ht="28.5" customHeight="1" thickBot="1">
      <c r="A70" s="611">
        <v>3</v>
      </c>
      <c r="B70" s="904" t="s">
        <v>922</v>
      </c>
      <c r="C70" s="904"/>
      <c r="D70" s="638" t="s">
        <v>856</v>
      </c>
      <c r="E70" s="622" t="s">
        <v>919</v>
      </c>
      <c r="F70" s="622"/>
      <c r="G70" s="637"/>
      <c r="H70" s="623">
        <v>0</v>
      </c>
      <c r="I70" s="636"/>
      <c r="J70" s="622" t="s">
        <v>923</v>
      </c>
      <c r="K70" s="622"/>
    </row>
    <row r="71" spans="1:11" ht="28.5" customHeight="1" thickBot="1">
      <c r="A71" s="898" t="s">
        <v>924</v>
      </c>
      <c r="B71" s="899"/>
      <c r="C71" s="899"/>
      <c r="D71" s="899"/>
      <c r="E71" s="899"/>
      <c r="F71" s="899"/>
      <c r="G71" s="907"/>
      <c r="H71" s="663"/>
      <c r="I71" s="663"/>
      <c r="J71" s="663"/>
      <c r="K71" s="663"/>
    </row>
    <row r="72" spans="1:11" ht="28.5" customHeight="1" thickBot="1">
      <c r="A72" s="908" t="s">
        <v>842</v>
      </c>
      <c r="B72" s="909"/>
      <c r="C72" s="909"/>
      <c r="D72" s="909"/>
      <c r="E72" s="909"/>
      <c r="F72" s="909"/>
      <c r="G72" s="909"/>
      <c r="H72" s="909"/>
      <c r="I72" s="909"/>
      <c r="J72" s="909"/>
      <c r="K72" s="910"/>
    </row>
    <row r="73" spans="1:11" ht="28.5" customHeight="1" thickBot="1">
      <c r="A73" s="607">
        <v>1</v>
      </c>
      <c r="B73" s="902" t="s">
        <v>925</v>
      </c>
      <c r="C73" s="902"/>
      <c r="D73" s="608"/>
      <c r="E73" s="609"/>
      <c r="F73" s="608"/>
      <c r="G73" s="609"/>
      <c r="H73" s="608"/>
      <c r="I73" s="608"/>
      <c r="J73" s="608"/>
      <c r="K73" s="610"/>
    </row>
    <row r="74" spans="1:11" ht="28.5" customHeight="1" thickBot="1">
      <c r="A74" s="611"/>
      <c r="B74" s="612" t="s">
        <v>844</v>
      </c>
      <c r="C74" s="664" t="s">
        <v>926</v>
      </c>
      <c r="D74" s="618" t="s">
        <v>856</v>
      </c>
      <c r="E74" s="640"/>
      <c r="F74" s="640"/>
      <c r="G74" s="641"/>
      <c r="H74" s="640">
        <v>0</v>
      </c>
      <c r="I74" s="640" t="s">
        <v>847</v>
      </c>
      <c r="J74" s="640" t="s">
        <v>927</v>
      </c>
      <c r="K74" s="640"/>
    </row>
    <row r="75" spans="1:11" ht="28.5" customHeight="1" thickBot="1">
      <c r="A75" s="611"/>
      <c r="B75" s="612" t="s">
        <v>849</v>
      </c>
      <c r="C75" s="664" t="s">
        <v>928</v>
      </c>
      <c r="D75" s="638" t="s">
        <v>856</v>
      </c>
      <c r="E75" s="640"/>
      <c r="F75" s="640"/>
      <c r="G75" s="641"/>
      <c r="H75" s="640">
        <v>0</v>
      </c>
      <c r="I75" s="640" t="s">
        <v>847</v>
      </c>
      <c r="J75" s="640" t="s">
        <v>927</v>
      </c>
      <c r="K75" s="640"/>
    </row>
    <row r="76" spans="1:3" ht="12.75">
      <c r="A76" s="665"/>
      <c r="C76" s="593" t="s">
        <v>149</v>
      </c>
    </row>
    <row r="82" spans="4:10" ht="12.75">
      <c r="D82" s="903"/>
      <c r="E82" s="903"/>
      <c r="F82" s="666"/>
      <c r="G82" s="666"/>
      <c r="H82" s="903"/>
      <c r="I82" s="903"/>
      <c r="J82" s="903"/>
    </row>
    <row r="83" spans="4:10" ht="12.75">
      <c r="D83" s="906"/>
      <c r="E83" s="906"/>
      <c r="F83" s="667"/>
      <c r="G83" s="667"/>
      <c r="H83" s="906"/>
      <c r="I83" s="906"/>
      <c r="J83" s="906"/>
    </row>
    <row r="84" spans="4:10" ht="12.75">
      <c r="D84" s="906"/>
      <c r="E84" s="906"/>
      <c r="F84" s="667"/>
      <c r="G84" s="667"/>
      <c r="H84" s="906"/>
      <c r="I84" s="906"/>
      <c r="J84" s="906"/>
    </row>
    <row r="85" spans="4:10" ht="12.75">
      <c r="D85" s="668"/>
      <c r="E85" s="668"/>
      <c r="F85" s="668"/>
      <c r="G85" s="668"/>
      <c r="H85" s="668"/>
      <c r="I85" s="668"/>
      <c r="J85" s="668"/>
    </row>
  </sheetData>
  <sheetProtection/>
  <mergeCells count="42">
    <mergeCell ref="D83:E83"/>
    <mergeCell ref="H83:J83"/>
    <mergeCell ref="D84:E84"/>
    <mergeCell ref="H84:J84"/>
    <mergeCell ref="B69:C69"/>
    <mergeCell ref="B70:C70"/>
    <mergeCell ref="A71:G71"/>
    <mergeCell ref="A72:K72"/>
    <mergeCell ref="B73:C73"/>
    <mergeCell ref="D82:E82"/>
    <mergeCell ref="H82:J82"/>
    <mergeCell ref="B55:C55"/>
    <mergeCell ref="A59:G59"/>
    <mergeCell ref="A60:G60"/>
    <mergeCell ref="B61:C61"/>
    <mergeCell ref="A67:G67"/>
    <mergeCell ref="B68:C68"/>
    <mergeCell ref="B33:C33"/>
    <mergeCell ref="B36:C36"/>
    <mergeCell ref="B38:C38"/>
    <mergeCell ref="A42:G42"/>
    <mergeCell ref="B43:C43"/>
    <mergeCell ref="B49:C49"/>
    <mergeCell ref="A11:G11"/>
    <mergeCell ref="A12:G12"/>
    <mergeCell ref="B13:C13"/>
    <mergeCell ref="B17:C17"/>
    <mergeCell ref="B21:C21"/>
    <mergeCell ref="B25:C25"/>
    <mergeCell ref="A8:C10"/>
    <mergeCell ref="D8:G8"/>
    <mergeCell ref="H8:I8"/>
    <mergeCell ref="J8:J10"/>
    <mergeCell ref="K8:K10"/>
    <mergeCell ref="D9:E9"/>
    <mergeCell ref="F9:G9"/>
    <mergeCell ref="A1:K1"/>
    <mergeCell ref="A2:K2"/>
    <mergeCell ref="A3:K3"/>
    <mergeCell ref="A4:K4"/>
    <mergeCell ref="D6:J6"/>
    <mergeCell ref="A7:K7"/>
  </mergeCells>
  <printOptions horizontalCentered="1"/>
  <pageMargins left="0.2362204724409449" right="0.2362204724409449" top="1.062992125984252" bottom="1.062992125984252" header="0.31496062992125984" footer="0.31496062992125984"/>
  <pageSetup fitToHeight="3" fitToWidth="1" horizontalDpi="600" verticalDpi="600" orientation="landscape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D18"/>
  <sheetViews>
    <sheetView showGridLines="0" zoomScale="130" zoomScaleNormal="130" zoomScalePageLayoutView="0" workbookViewId="0" topLeftCell="A1">
      <selection activeCell="F20" sqref="F20"/>
    </sheetView>
  </sheetViews>
  <sheetFormatPr defaultColWidth="11.421875" defaultRowHeight="15"/>
  <cols>
    <col min="1" max="1" width="11.421875" style="183" customWidth="1"/>
    <col min="2" max="2" width="8.8515625" style="183" customWidth="1"/>
    <col min="3" max="3" width="24.57421875" style="183" customWidth="1"/>
    <col min="4" max="4" width="70.7109375" style="183" customWidth="1"/>
    <col min="5" max="16384" width="11.421875" style="183" customWidth="1"/>
  </cols>
  <sheetData>
    <row r="1" ht="12"/>
    <row r="2" spans="3:4" ht="36">
      <c r="C2" s="673" t="s">
        <v>763</v>
      </c>
      <c r="D2" s="673"/>
    </row>
    <row r="3" spans="3:4" ht="31.5">
      <c r="C3" s="670" t="s">
        <v>764</v>
      </c>
      <c r="D3" s="670"/>
    </row>
    <row r="4" spans="3:4" ht="21">
      <c r="C4" s="674" t="s">
        <v>3</v>
      </c>
      <c r="D4" s="674"/>
    </row>
    <row r="5" spans="3:4" ht="12">
      <c r="C5" s="675"/>
      <c r="D5" s="675"/>
    </row>
    <row r="6" spans="3:4" ht="12">
      <c r="C6" s="675"/>
      <c r="D6" s="675"/>
    </row>
    <row r="7" spans="3:4" ht="12">
      <c r="C7" s="675"/>
      <c r="D7" s="675"/>
    </row>
    <row r="8" spans="3:4" ht="12">
      <c r="C8" s="187" t="s">
        <v>355</v>
      </c>
      <c r="D8" s="328" t="s">
        <v>797</v>
      </c>
    </row>
    <row r="9" ht="6.75" customHeight="1"/>
    <row r="10" spans="3:4" ht="12">
      <c r="C10" s="187" t="s">
        <v>356</v>
      </c>
      <c r="D10" s="328" t="s">
        <v>823</v>
      </c>
    </row>
    <row r="11" ht="6.75" customHeight="1"/>
    <row r="12" spans="3:4" ht="12">
      <c r="C12" s="187" t="s">
        <v>357</v>
      </c>
      <c r="D12" s="328" t="s">
        <v>824</v>
      </c>
    </row>
    <row r="13" ht="6.75" customHeight="1"/>
    <row r="14" spans="3:4" ht="12">
      <c r="C14" s="187" t="s">
        <v>358</v>
      </c>
      <c r="D14" s="328" t="s">
        <v>825</v>
      </c>
    </row>
    <row r="15" ht="6.75" customHeight="1"/>
    <row r="16" spans="3:4" ht="12">
      <c r="C16" s="187" t="s">
        <v>359</v>
      </c>
      <c r="D16" s="328" t="s">
        <v>798</v>
      </c>
    </row>
    <row r="17" ht="6.75" customHeight="1"/>
    <row r="18" spans="3:4" ht="12">
      <c r="C18" s="187" t="s">
        <v>773</v>
      </c>
      <c r="D18" s="183">
        <v>9</v>
      </c>
    </row>
    <row r="19" ht="6.75" customHeight="1"/>
  </sheetData>
  <sheetProtection selectLockedCells="1"/>
  <mergeCells count="6">
    <mergeCell ref="C2:D2"/>
    <mergeCell ref="C3:D3"/>
    <mergeCell ref="C4:D4"/>
    <mergeCell ref="C7:D7"/>
    <mergeCell ref="C5:D5"/>
    <mergeCell ref="C6:D6"/>
  </mergeCells>
  <hyperlinks>
    <hyperlink ref="C2:D2" location="RENDICIÓN" display="RENDICIÓN DE LA CUENTA PÚBLICA"/>
  </hyperlinks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E2:K21"/>
  <sheetViews>
    <sheetView zoomScalePageLayoutView="0" workbookViewId="0" topLeftCell="A1">
      <selection activeCell="E11" sqref="E11:K11"/>
    </sheetView>
  </sheetViews>
  <sheetFormatPr defaultColWidth="11.421875" defaultRowHeight="15"/>
  <cols>
    <col min="1" max="1" width="9.00390625" style="181" customWidth="1"/>
    <col min="2" max="4" width="11.421875" style="181" customWidth="1"/>
    <col min="5" max="5" width="11.421875" style="586" customWidth="1"/>
    <col min="6" max="6" width="14.140625" style="181" bestFit="1" customWidth="1"/>
    <col min="7" max="11" width="15.140625" style="181" bestFit="1" customWidth="1"/>
    <col min="12" max="16384" width="11.421875" style="181" customWidth="1"/>
  </cols>
  <sheetData>
    <row r="2" spans="5:11" ht="15">
      <c r="E2" s="912" t="s">
        <v>788</v>
      </c>
      <c r="F2" s="912"/>
      <c r="G2" s="912"/>
      <c r="H2" s="912"/>
      <c r="I2" s="912"/>
      <c r="J2" s="912"/>
      <c r="K2" s="912"/>
    </row>
    <row r="5" spans="5:11" ht="15">
      <c r="E5" s="911" t="s">
        <v>775</v>
      </c>
      <c r="F5" s="911"/>
      <c r="G5" s="911"/>
      <c r="H5" s="911"/>
      <c r="I5" s="911"/>
      <c r="J5" s="911"/>
      <c r="K5" s="911"/>
    </row>
    <row r="6" spans="5:11" ht="15">
      <c r="E6" s="586" t="s">
        <v>786</v>
      </c>
      <c r="F6" s="587">
        <f>+EAI!E28</f>
        <v>7002457993</v>
      </c>
      <c r="G6" s="587">
        <f>+EAI!F28</f>
        <v>137534261.34</v>
      </c>
      <c r="H6" s="587">
        <f>+EAI!G28</f>
        <v>7139992254.34</v>
      </c>
      <c r="I6" s="587">
        <f>+EAI!H28</f>
        <v>3866855642.1</v>
      </c>
      <c r="J6" s="587">
        <f>+EAI!I28</f>
        <v>759958897.82</v>
      </c>
      <c r="K6" s="587">
        <f>+EAI!J28</f>
        <v>-6242499095.179999</v>
      </c>
    </row>
    <row r="7" spans="5:11" ht="15">
      <c r="E7" s="586" t="s">
        <v>787</v>
      </c>
      <c r="F7" s="587">
        <f>+EAID!D75</f>
        <v>7002457993</v>
      </c>
      <c r="G7" s="587">
        <f>+EAID!E75</f>
        <v>137534261.34</v>
      </c>
      <c r="H7" s="587">
        <f>+EAID!F75</f>
        <v>7139992254.34</v>
      </c>
      <c r="I7" s="587">
        <f>+EAID!G75</f>
        <v>3866855642.1</v>
      </c>
      <c r="J7" s="587">
        <f>+EAID!H75</f>
        <v>759958897.8199999</v>
      </c>
      <c r="K7" s="587">
        <f>+EAID!I75</f>
        <v>-6242499095.18</v>
      </c>
    </row>
    <row r="8" spans="5:11" ht="15">
      <c r="E8" s="588"/>
      <c r="F8" s="589" t="str">
        <f aca="true" t="shared" si="0" ref="F8:K8">+IF(F6=F7,"OK","ERROR")</f>
        <v>OK</v>
      </c>
      <c r="G8" s="589" t="str">
        <f t="shared" si="0"/>
        <v>OK</v>
      </c>
      <c r="H8" s="589" t="str">
        <f t="shared" si="0"/>
        <v>OK</v>
      </c>
      <c r="I8" s="589" t="str">
        <f t="shared" si="0"/>
        <v>OK</v>
      </c>
      <c r="J8" s="589" t="str">
        <f t="shared" si="0"/>
        <v>OK</v>
      </c>
      <c r="K8" s="589" t="str">
        <f t="shared" si="0"/>
        <v>OK</v>
      </c>
    </row>
    <row r="9" spans="5:11" ht="15">
      <c r="E9" s="590"/>
      <c r="F9" s="591"/>
      <c r="G9" s="591"/>
      <c r="H9" s="591"/>
      <c r="I9" s="591"/>
      <c r="J9" s="591"/>
      <c r="K9" s="591"/>
    </row>
    <row r="10" spans="5:11" ht="15">
      <c r="E10" s="590"/>
      <c r="F10" s="591"/>
      <c r="G10" s="591"/>
      <c r="H10" s="591"/>
      <c r="I10" s="591"/>
      <c r="J10" s="591"/>
      <c r="K10" s="591"/>
    </row>
    <row r="11" spans="5:11" ht="15">
      <c r="E11" s="911" t="s">
        <v>776</v>
      </c>
      <c r="F11" s="911"/>
      <c r="G11" s="911"/>
      <c r="H11" s="911"/>
      <c r="I11" s="911"/>
      <c r="J11" s="911"/>
      <c r="K11" s="911"/>
    </row>
    <row r="12" spans="5:11" ht="15">
      <c r="E12" s="586" t="s">
        <v>778</v>
      </c>
      <c r="F12" s="587">
        <f>+CAdmon!D77</f>
        <v>7002457993</v>
      </c>
      <c r="G12" s="587">
        <f>+CAdmon!E77</f>
        <v>156967661.19999993</v>
      </c>
      <c r="H12" s="587">
        <f>+CAdmon!F77</f>
        <v>7159425654.200003</v>
      </c>
      <c r="I12" s="587">
        <f>+CAdmon!G77</f>
        <v>3843162763.860001</v>
      </c>
      <c r="J12" s="587">
        <f>+CAdmon!H77</f>
        <v>710862303.76</v>
      </c>
      <c r="K12" s="587">
        <f>+CAdmon!I77</f>
        <v>3316262890.340001</v>
      </c>
    </row>
    <row r="13" spans="5:11" ht="15">
      <c r="E13" s="586" t="s">
        <v>777</v>
      </c>
      <c r="F13" s="587">
        <f>+'CA'!C51</f>
        <v>7002457993</v>
      </c>
      <c r="G13" s="587">
        <f>+'CA'!D51</f>
        <v>156967661.19999978</v>
      </c>
      <c r="H13" s="587">
        <f>+'CA'!E51</f>
        <v>7159425654.200003</v>
      </c>
      <c r="I13" s="587">
        <f>+'CA'!F51</f>
        <v>3843162763.860001</v>
      </c>
      <c r="J13" s="587">
        <f>+'CA'!G51</f>
        <v>710862303.76</v>
      </c>
      <c r="K13" s="587">
        <f>+'CA'!H51</f>
        <v>3316262890.3400016</v>
      </c>
    </row>
    <row r="14" spans="5:11" ht="15">
      <c r="E14" s="586" t="s">
        <v>779</v>
      </c>
      <c r="F14" s="587">
        <f>+CTG!D23</f>
        <v>7002457993</v>
      </c>
      <c r="G14" s="587">
        <f>+CTG!E23</f>
        <v>156967661.2</v>
      </c>
      <c r="H14" s="587">
        <f>+CTG!F23</f>
        <v>7159425654.200001</v>
      </c>
      <c r="I14" s="587">
        <f>+CTG!G23</f>
        <v>3843162763.8599997</v>
      </c>
      <c r="J14" s="587">
        <f>+CTG!H23</f>
        <v>710862303.7599999</v>
      </c>
      <c r="K14" s="587">
        <f>+CTG!I23</f>
        <v>3316262890.3400006</v>
      </c>
    </row>
    <row r="15" spans="5:11" ht="15">
      <c r="E15" s="586" t="s">
        <v>780</v>
      </c>
      <c r="F15" s="587">
        <f>+COG!D84</f>
        <v>7002457993</v>
      </c>
      <c r="G15" s="587">
        <f>+COG!E84</f>
        <v>156967661.2</v>
      </c>
      <c r="H15" s="587">
        <f>+COG!F84</f>
        <v>7159425654.200002</v>
      </c>
      <c r="I15" s="587">
        <f>+COG!G84</f>
        <v>3843162763.859999</v>
      </c>
      <c r="J15" s="587">
        <f>+COG!H84</f>
        <v>710862303.7599999</v>
      </c>
      <c r="K15" s="587">
        <f>+COG!I84</f>
        <v>3316262890.34</v>
      </c>
    </row>
    <row r="16" spans="5:11" ht="15">
      <c r="E16" s="586" t="s">
        <v>781</v>
      </c>
      <c r="F16" s="587">
        <f>+COGCC!D176</f>
        <v>7002457993</v>
      </c>
      <c r="G16" s="587">
        <f>+COGCC!E176</f>
        <v>156967661.19999996</v>
      </c>
      <c r="H16" s="587">
        <f>+COGCC!F176</f>
        <v>7159425654.200002</v>
      </c>
      <c r="I16" s="587">
        <f>+COGCC!G176</f>
        <v>3843162763.8599987</v>
      </c>
      <c r="J16" s="587">
        <f>+COGCC!H176</f>
        <v>710862303.7599999</v>
      </c>
      <c r="K16" s="587">
        <f>+COGCC!I176</f>
        <v>3316262890.340003</v>
      </c>
    </row>
    <row r="17" spans="5:11" ht="15">
      <c r="E17" s="586" t="s">
        <v>782</v>
      </c>
      <c r="F17" s="587">
        <f>+CFG!D45</f>
        <v>7002457993</v>
      </c>
      <c r="G17" s="587">
        <f>+CFG!E45</f>
        <v>156967661.20000002</v>
      </c>
      <c r="H17" s="587">
        <f>+CFG!F45</f>
        <v>7159425654.2</v>
      </c>
      <c r="I17" s="587">
        <f>+CFG!G45</f>
        <v>3843162763.8599997</v>
      </c>
      <c r="J17" s="587">
        <f>+CFG!H45</f>
        <v>710862303.76</v>
      </c>
      <c r="K17" s="587">
        <f>+CFG!I45</f>
        <v>3316262890.34</v>
      </c>
    </row>
    <row r="18" spans="5:11" ht="15">
      <c r="E18" s="586" t="s">
        <v>783</v>
      </c>
      <c r="F18" s="587">
        <f>+CFFF!D78</f>
        <v>7002457993</v>
      </c>
      <c r="G18" s="587">
        <f>+CFFF!E78</f>
        <v>156967661.20000002</v>
      </c>
      <c r="H18" s="587">
        <f>+CFFF!F78</f>
        <v>7159425654.2</v>
      </c>
      <c r="I18" s="587">
        <f>+CFFF!G78</f>
        <v>3843162763.8599997</v>
      </c>
      <c r="J18" s="587">
        <f>+CFFF!H78</f>
        <v>710862303.76</v>
      </c>
      <c r="K18" s="587">
        <f>+CFFF!I78</f>
        <v>3316262890.34</v>
      </c>
    </row>
    <row r="19" spans="5:11" ht="15">
      <c r="E19" s="586" t="s">
        <v>784</v>
      </c>
      <c r="F19" s="587">
        <f>+CProg!E43</f>
        <v>7002457993</v>
      </c>
      <c r="G19" s="587">
        <f>+CProg!F43</f>
        <v>156967661.2</v>
      </c>
      <c r="H19" s="587">
        <f>+CProg!G43</f>
        <v>7159425654.2</v>
      </c>
      <c r="I19" s="587">
        <f>+CProg!H43</f>
        <v>3843162763.8599997</v>
      </c>
      <c r="J19" s="587">
        <f>+CProg!I43</f>
        <v>710862303.76</v>
      </c>
      <c r="K19" s="587">
        <f>+CProg!J43</f>
        <v>3316262890.34</v>
      </c>
    </row>
    <row r="20" spans="5:11" ht="15">
      <c r="E20" s="586" t="s">
        <v>785</v>
      </c>
      <c r="F20" s="587">
        <f>+CFF!D27</f>
        <v>7002457993</v>
      </c>
      <c r="G20" s="587">
        <f>+CFF!E27</f>
        <v>156967661.20000026</v>
      </c>
      <c r="H20" s="587">
        <f>+CFF!F27</f>
        <v>7159425654.200001</v>
      </c>
      <c r="I20" s="587">
        <f>+CFF!G27</f>
        <v>3843162763.8599977</v>
      </c>
      <c r="J20" s="587">
        <f>+CFF!H27</f>
        <v>710862303.76</v>
      </c>
      <c r="K20" s="587">
        <f>+CFF!I27</f>
        <v>3316262890.3400025</v>
      </c>
    </row>
    <row r="21" spans="5:11" ht="15">
      <c r="E21" s="588"/>
      <c r="F21" s="589" t="str">
        <f aca="true" t="shared" si="1" ref="F21:K21">+IF(F12=F13,IF(F13=F14,IF(F14=F15,IF(F15=F16,IF(F16=F17,IF(F17=F18,IF(F18=F19,IF(F19=F20,"OK","ERROR"))))))))</f>
        <v>OK</v>
      </c>
      <c r="G21" s="589" t="str">
        <f t="shared" si="1"/>
        <v>OK</v>
      </c>
      <c r="H21" s="589" t="str">
        <f t="shared" si="1"/>
        <v>OK</v>
      </c>
      <c r="I21" s="589" t="str">
        <f t="shared" si="1"/>
        <v>OK</v>
      </c>
      <c r="J21" s="589" t="str">
        <f t="shared" si="1"/>
        <v>OK</v>
      </c>
      <c r="K21" s="589" t="str">
        <f t="shared" si="1"/>
        <v>OK</v>
      </c>
    </row>
  </sheetData>
  <sheetProtection sheet="1" objects="1" scenarios="1" selectLockedCells="1"/>
  <mergeCells count="3">
    <mergeCell ref="E11:K11"/>
    <mergeCell ref="E5:K5"/>
    <mergeCell ref="E2:K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163"/>
  <sheetViews>
    <sheetView showGridLines="0" view="pageBreakPreview" zoomScaleNormal="85" zoomScaleSheetLayoutView="100" zoomScalePageLayoutView="0" workbookViewId="0" topLeftCell="A1">
      <selection activeCell="E95" sqref="E95"/>
    </sheetView>
  </sheetViews>
  <sheetFormatPr defaultColWidth="11.421875" defaultRowHeight="15"/>
  <cols>
    <col min="1" max="1" width="1.1484375" style="2" customWidth="1"/>
    <col min="2" max="2" width="11.421875" style="2" customWidth="1"/>
    <col min="3" max="3" width="79.7109375" style="2" bestFit="1" customWidth="1"/>
    <col min="4" max="4" width="13.7109375" style="2" customWidth="1"/>
    <col min="5" max="5" width="14.57421875" style="6" bestFit="1" customWidth="1"/>
    <col min="6" max="6" width="19.7109375" style="6" bestFit="1" customWidth="1"/>
    <col min="7" max="7" width="13.57421875" style="6" bestFit="1" customWidth="1"/>
    <col min="8" max="8" width="14.421875" style="7" bestFit="1" customWidth="1"/>
    <col min="9" max="9" width="1.57421875" style="2" customWidth="1"/>
    <col min="10" max="10" width="46.28125" style="2" bestFit="1" customWidth="1"/>
    <col min="11" max="12" width="45.57421875" style="2" bestFit="1" customWidth="1"/>
    <col min="13" max="13" width="43.00390625" style="2" bestFit="1" customWidth="1"/>
    <col min="14" max="16384" width="11.421875" style="2" customWidth="1"/>
  </cols>
  <sheetData>
    <row r="2" spans="3:8" ht="12">
      <c r="C2" s="677" t="s">
        <v>367</v>
      </c>
      <c r="D2" s="677"/>
      <c r="E2" s="677"/>
      <c r="F2" s="677"/>
      <c r="G2" s="677"/>
      <c r="H2" s="677"/>
    </row>
    <row r="3" spans="3:8" ht="12">
      <c r="C3" s="678" t="s">
        <v>368</v>
      </c>
      <c r="D3" s="678"/>
      <c r="E3" s="678"/>
      <c r="F3" s="678"/>
      <c r="G3" s="678"/>
      <c r="H3" s="678"/>
    </row>
    <row r="4" spans="3:8" ht="12">
      <c r="C4" s="678" t="str">
        <f>"Del 1 de enero al "&amp;TEXT(INDEX(Periodos,ENTE!D18,1),"dd")&amp;" de "&amp;TEXT(INDEX(Periodos,ENTE!D18,1),"mmmm")&amp;" de "&amp;TEXT(INDEX(Periodos,ENTE!D18,1),"aaaa")&amp;""</f>
        <v>Del 1 de enero al 30 de septiembre de 2017</v>
      </c>
      <c r="D4" s="678"/>
      <c r="E4" s="678"/>
      <c r="F4" s="678"/>
      <c r="G4" s="678"/>
      <c r="H4" s="678"/>
    </row>
    <row r="5" spans="3:8" ht="12">
      <c r="C5" s="678" t="s">
        <v>92</v>
      </c>
      <c r="D5" s="678"/>
      <c r="E5" s="678"/>
      <c r="F5" s="678"/>
      <c r="G5" s="678"/>
      <c r="H5" s="678"/>
    </row>
    <row r="6" ht="12">
      <c r="C6" s="5"/>
    </row>
    <row r="7" spans="2:8" ht="12">
      <c r="B7" s="4" t="s">
        <v>4</v>
      </c>
      <c r="C7" s="679" t="str">
        <f>ENTE!D8</f>
        <v>UNIDAD DE SERVICIOS PARA LA EDUCACION BASICA EN EL ESTADO DE QUERETARO</v>
      </c>
      <c r="D7" s="679"/>
      <c r="E7" s="679"/>
      <c r="F7" s="679"/>
      <c r="G7" s="679"/>
      <c r="H7" s="679"/>
    </row>
    <row r="8" ht="12">
      <c r="C8" s="5"/>
    </row>
    <row r="9" spans="2:8" ht="12">
      <c r="B9" s="676" t="s">
        <v>367</v>
      </c>
      <c r="C9" s="676"/>
      <c r="D9" s="676">
        <v>2017</v>
      </c>
      <c r="E9" s="676"/>
      <c r="F9" s="676"/>
      <c r="G9" s="676"/>
      <c r="H9" s="676"/>
    </row>
    <row r="10" spans="2:8" ht="28.5" customHeight="1">
      <c r="B10" s="189" t="s">
        <v>360</v>
      </c>
      <c r="C10" s="189" t="s">
        <v>361</v>
      </c>
      <c r="D10" s="189" t="s">
        <v>362</v>
      </c>
      <c r="E10" s="189" t="s">
        <v>363</v>
      </c>
      <c r="F10" s="189" t="s">
        <v>364</v>
      </c>
      <c r="G10" s="189" t="s">
        <v>365</v>
      </c>
      <c r="H10" s="189" t="s">
        <v>366</v>
      </c>
    </row>
    <row r="11" spans="2:12" ht="12">
      <c r="B11" s="282"/>
      <c r="C11" s="285" t="s">
        <v>664</v>
      </c>
      <c r="D11" s="300"/>
      <c r="E11" s="300"/>
      <c r="F11" s="300"/>
      <c r="G11" s="300"/>
      <c r="H11" s="301"/>
      <c r="J11" s="9"/>
      <c r="K11" s="9"/>
      <c r="L11" s="9"/>
    </row>
    <row r="12" spans="2:12" ht="12">
      <c r="B12" s="282"/>
      <c r="C12" s="286" t="s">
        <v>665</v>
      </c>
      <c r="D12" s="300"/>
      <c r="E12" s="300"/>
      <c r="F12" s="300"/>
      <c r="G12" s="300"/>
      <c r="H12" s="301"/>
      <c r="J12" s="9"/>
      <c r="K12" s="9"/>
      <c r="L12" s="9"/>
    </row>
    <row r="13" spans="2:12" ht="12">
      <c r="B13" s="282">
        <v>11</v>
      </c>
      <c r="C13" s="289" t="s">
        <v>666</v>
      </c>
      <c r="D13" s="188"/>
      <c r="E13" s="188"/>
      <c r="F13" s="188"/>
      <c r="G13" s="188"/>
      <c r="H13" s="190"/>
      <c r="J13" s="9"/>
      <c r="K13" s="9"/>
      <c r="L13" s="9"/>
    </row>
    <row r="14" spans="2:12" ht="12">
      <c r="B14" s="282">
        <v>12</v>
      </c>
      <c r="C14" s="289" t="s">
        <v>667</v>
      </c>
      <c r="D14" s="188"/>
      <c r="E14" s="188"/>
      <c r="F14" s="188"/>
      <c r="G14" s="188"/>
      <c r="H14" s="190"/>
      <c r="J14" s="9"/>
      <c r="K14" s="9"/>
      <c r="L14" s="9"/>
    </row>
    <row r="15" spans="2:13" ht="12">
      <c r="B15" s="282">
        <v>13</v>
      </c>
      <c r="C15" s="289" t="s">
        <v>668</v>
      </c>
      <c r="D15" s="188"/>
      <c r="E15" s="188"/>
      <c r="F15" s="188"/>
      <c r="G15" s="188"/>
      <c r="H15" s="190"/>
      <c r="J15" s="9"/>
      <c r="K15" s="9"/>
      <c r="L15" s="9"/>
      <c r="M15" s="9"/>
    </row>
    <row r="16" spans="2:12" ht="12">
      <c r="B16" s="282">
        <v>14</v>
      </c>
      <c r="C16" s="289" t="s">
        <v>669</v>
      </c>
      <c r="D16" s="188"/>
      <c r="E16" s="188"/>
      <c r="F16" s="188"/>
      <c r="G16" s="188"/>
      <c r="H16" s="190"/>
      <c r="J16" s="9"/>
      <c r="K16" s="9"/>
      <c r="L16" s="9"/>
    </row>
    <row r="17" spans="2:12" ht="12">
      <c r="B17" s="282">
        <v>15</v>
      </c>
      <c r="C17" s="289" t="s">
        <v>670</v>
      </c>
      <c r="D17" s="188"/>
      <c r="E17" s="188"/>
      <c r="F17" s="188"/>
      <c r="G17" s="188"/>
      <c r="H17" s="190"/>
      <c r="J17" s="9"/>
      <c r="K17" s="9"/>
      <c r="L17" s="9"/>
    </row>
    <row r="18" spans="2:12" ht="12">
      <c r="B18" s="282">
        <v>16</v>
      </c>
      <c r="C18" s="289" t="s">
        <v>671</v>
      </c>
      <c r="D18" s="188"/>
      <c r="E18" s="188"/>
      <c r="F18" s="188"/>
      <c r="G18" s="188"/>
      <c r="H18" s="190"/>
      <c r="J18" s="9"/>
      <c r="K18" s="9"/>
      <c r="L18" s="9"/>
    </row>
    <row r="19" spans="2:12" ht="12">
      <c r="B19" s="282">
        <v>17</v>
      </c>
      <c r="C19" s="289" t="s">
        <v>672</v>
      </c>
      <c r="D19" s="188"/>
      <c r="E19" s="188"/>
      <c r="F19" s="188"/>
      <c r="G19" s="188"/>
      <c r="H19" s="190"/>
      <c r="J19" s="9"/>
      <c r="K19" s="9"/>
      <c r="L19" s="9"/>
    </row>
    <row r="20" spans="2:12" ht="12">
      <c r="B20" s="282">
        <v>18</v>
      </c>
      <c r="C20" s="289" t="s">
        <v>673</v>
      </c>
      <c r="D20" s="188"/>
      <c r="E20" s="188"/>
      <c r="F20" s="188"/>
      <c r="G20" s="188"/>
      <c r="H20" s="190"/>
      <c r="J20" s="9"/>
      <c r="K20" s="9"/>
      <c r="L20" s="9"/>
    </row>
    <row r="21" spans="2:12" ht="24">
      <c r="B21" s="282">
        <v>19</v>
      </c>
      <c r="C21" s="290" t="s">
        <v>674</v>
      </c>
      <c r="D21" s="188"/>
      <c r="E21" s="188"/>
      <c r="F21" s="188"/>
      <c r="G21" s="188"/>
      <c r="H21" s="190"/>
      <c r="J21" s="9"/>
      <c r="K21" s="9"/>
      <c r="L21" s="9"/>
    </row>
    <row r="22" spans="2:12" ht="12">
      <c r="B22" s="282"/>
      <c r="C22" s="286" t="s">
        <v>675</v>
      </c>
      <c r="D22" s="300"/>
      <c r="E22" s="300"/>
      <c r="F22" s="300"/>
      <c r="G22" s="300"/>
      <c r="H22" s="301"/>
      <c r="J22" s="9"/>
      <c r="K22" s="9"/>
      <c r="L22" s="9"/>
    </row>
    <row r="23" spans="2:12" ht="12">
      <c r="B23" s="282">
        <v>21</v>
      </c>
      <c r="C23" s="289" t="s">
        <v>676</v>
      </c>
      <c r="D23" s="188"/>
      <c r="E23" s="188"/>
      <c r="F23" s="188"/>
      <c r="G23" s="188"/>
      <c r="H23" s="190"/>
      <c r="J23" s="9"/>
      <c r="K23" s="9"/>
      <c r="L23" s="9"/>
    </row>
    <row r="24" spans="2:12" ht="12">
      <c r="B24" s="282">
        <v>22</v>
      </c>
      <c r="C24" s="289" t="s">
        <v>677</v>
      </c>
      <c r="D24" s="188"/>
      <c r="E24" s="188"/>
      <c r="F24" s="188"/>
      <c r="G24" s="188"/>
      <c r="H24" s="190"/>
      <c r="J24" s="9"/>
      <c r="K24" s="9"/>
      <c r="L24" s="9"/>
    </row>
    <row r="25" spans="2:12" ht="12">
      <c r="B25" s="282">
        <v>23</v>
      </c>
      <c r="C25" s="289" t="s">
        <v>678</v>
      </c>
      <c r="D25" s="188"/>
      <c r="E25" s="188"/>
      <c r="F25" s="188"/>
      <c r="G25" s="188"/>
      <c r="H25" s="190"/>
      <c r="J25" s="9"/>
      <c r="K25" s="9"/>
      <c r="L25" s="9"/>
    </row>
    <row r="26" spans="2:12" ht="12">
      <c r="B26" s="282">
        <v>24</v>
      </c>
      <c r="C26" s="289" t="s">
        <v>679</v>
      </c>
      <c r="D26" s="188"/>
      <c r="E26" s="188"/>
      <c r="F26" s="188"/>
      <c r="G26" s="188"/>
      <c r="H26" s="190"/>
      <c r="J26" s="9"/>
      <c r="K26" s="9"/>
      <c r="L26" s="9"/>
    </row>
    <row r="27" spans="2:12" ht="12">
      <c r="B27" s="282">
        <v>25</v>
      </c>
      <c r="C27" s="289" t="s">
        <v>680</v>
      </c>
      <c r="D27" s="188"/>
      <c r="E27" s="188"/>
      <c r="F27" s="188"/>
      <c r="G27" s="188"/>
      <c r="H27" s="190"/>
      <c r="J27" s="9"/>
      <c r="K27" s="9"/>
      <c r="L27" s="9"/>
    </row>
    <row r="28" spans="2:12" ht="12">
      <c r="B28" s="282"/>
      <c r="C28" s="286" t="s">
        <v>681</v>
      </c>
      <c r="D28" s="300"/>
      <c r="E28" s="300"/>
      <c r="F28" s="300"/>
      <c r="G28" s="300"/>
      <c r="H28" s="301"/>
      <c r="J28" s="9"/>
      <c r="K28" s="9"/>
      <c r="L28" s="9"/>
    </row>
    <row r="29" spans="2:12" ht="12">
      <c r="B29" s="282">
        <v>31</v>
      </c>
      <c r="C29" s="289" t="s">
        <v>682</v>
      </c>
      <c r="D29" s="188"/>
      <c r="E29" s="188"/>
      <c r="F29" s="188"/>
      <c r="G29" s="188"/>
      <c r="H29" s="190"/>
      <c r="J29" s="9"/>
      <c r="K29" s="9"/>
      <c r="L29" s="9"/>
    </row>
    <row r="30" spans="2:12" ht="24">
      <c r="B30" s="282">
        <v>39</v>
      </c>
      <c r="C30" s="290" t="s">
        <v>683</v>
      </c>
      <c r="D30" s="188"/>
      <c r="E30" s="188"/>
      <c r="F30" s="188"/>
      <c r="G30" s="188"/>
      <c r="H30" s="190"/>
      <c r="J30" s="9"/>
      <c r="K30" s="9"/>
      <c r="L30" s="9"/>
    </row>
    <row r="31" spans="2:12" ht="12">
      <c r="B31" s="282"/>
      <c r="C31" s="286" t="s">
        <v>684</v>
      </c>
      <c r="D31" s="300"/>
      <c r="E31" s="300"/>
      <c r="F31" s="300"/>
      <c r="G31" s="300"/>
      <c r="H31" s="301"/>
      <c r="J31" s="9"/>
      <c r="K31" s="9"/>
      <c r="L31" s="9"/>
    </row>
    <row r="32" spans="2:12" ht="12">
      <c r="B32" s="282">
        <v>41</v>
      </c>
      <c r="C32" s="289" t="s">
        <v>685</v>
      </c>
      <c r="D32" s="188"/>
      <c r="E32" s="188"/>
      <c r="F32" s="188"/>
      <c r="G32" s="188"/>
      <c r="H32" s="190"/>
      <c r="J32" s="9"/>
      <c r="K32" s="9"/>
      <c r="L32" s="9"/>
    </row>
    <row r="33" spans="2:12" ht="12">
      <c r="B33" s="282">
        <v>42</v>
      </c>
      <c r="C33" s="289" t="s">
        <v>686</v>
      </c>
      <c r="D33" s="188"/>
      <c r="E33" s="188"/>
      <c r="F33" s="188"/>
      <c r="G33" s="188"/>
      <c r="H33" s="190"/>
      <c r="J33" s="9"/>
      <c r="K33" s="9"/>
      <c r="L33" s="9"/>
    </row>
    <row r="34" spans="2:12" ht="12">
      <c r="B34" s="282">
        <v>43</v>
      </c>
      <c r="C34" s="289" t="s">
        <v>687</v>
      </c>
      <c r="D34" s="188"/>
      <c r="E34" s="188"/>
      <c r="F34" s="188"/>
      <c r="G34" s="188"/>
      <c r="H34" s="190"/>
      <c r="J34" s="9"/>
      <c r="K34" s="9"/>
      <c r="L34" s="9"/>
    </row>
    <row r="35" spans="2:12" ht="12">
      <c r="B35" s="282">
        <v>44</v>
      </c>
      <c r="C35" s="289" t="s">
        <v>688</v>
      </c>
      <c r="D35" s="188"/>
      <c r="E35" s="188"/>
      <c r="F35" s="188"/>
      <c r="G35" s="188"/>
      <c r="H35" s="190"/>
      <c r="J35" s="9"/>
      <c r="K35" s="9"/>
      <c r="L35" s="9"/>
    </row>
    <row r="36" spans="2:12" ht="12">
      <c r="B36" s="282">
        <v>45</v>
      </c>
      <c r="C36" s="289" t="s">
        <v>689</v>
      </c>
      <c r="D36" s="188"/>
      <c r="E36" s="188"/>
      <c r="F36" s="188"/>
      <c r="G36" s="188"/>
      <c r="H36" s="190"/>
      <c r="J36" s="9"/>
      <c r="K36" s="9"/>
      <c r="L36" s="9"/>
    </row>
    <row r="37" spans="2:12" ht="24">
      <c r="B37" s="282">
        <v>49</v>
      </c>
      <c r="C37" s="290" t="s">
        <v>690</v>
      </c>
      <c r="D37" s="188"/>
      <c r="E37" s="188"/>
      <c r="F37" s="188"/>
      <c r="G37" s="188"/>
      <c r="H37" s="190"/>
      <c r="J37" s="9"/>
      <c r="K37" s="9"/>
      <c r="L37" s="9"/>
    </row>
    <row r="38" spans="2:12" ht="12">
      <c r="B38" s="282"/>
      <c r="C38" s="286" t="s">
        <v>691</v>
      </c>
      <c r="D38" s="300"/>
      <c r="E38" s="300"/>
      <c r="F38" s="300"/>
      <c r="G38" s="300"/>
      <c r="H38" s="301"/>
      <c r="J38" s="9"/>
      <c r="K38" s="9"/>
      <c r="L38" s="9"/>
    </row>
    <row r="39" spans="2:12" ht="12">
      <c r="B39" s="282">
        <v>51</v>
      </c>
      <c r="C39" s="289" t="s">
        <v>692</v>
      </c>
      <c r="D39" s="188">
        <v>1223895</v>
      </c>
      <c r="E39" s="188">
        <v>-53249.22</v>
      </c>
      <c r="F39" s="188">
        <v>414930.25</v>
      </c>
      <c r="G39" s="188">
        <v>0</v>
      </c>
      <c r="H39" s="190">
        <v>-1585576.03</v>
      </c>
      <c r="J39" s="9"/>
      <c r="K39" s="9"/>
      <c r="L39" s="9"/>
    </row>
    <row r="40" spans="2:12" ht="12">
      <c r="B40" s="282">
        <v>52</v>
      </c>
      <c r="C40" s="289" t="s">
        <v>693</v>
      </c>
      <c r="D40" s="188"/>
      <c r="E40" s="188"/>
      <c r="F40" s="188"/>
      <c r="G40" s="188"/>
      <c r="H40" s="190"/>
      <c r="J40" s="9"/>
      <c r="K40" s="9"/>
      <c r="L40" s="9"/>
    </row>
    <row r="41" spans="2:12" ht="24">
      <c r="B41" s="282">
        <v>59</v>
      </c>
      <c r="C41" s="290" t="s">
        <v>694</v>
      </c>
      <c r="D41" s="188"/>
      <c r="E41" s="188"/>
      <c r="F41" s="188"/>
      <c r="G41" s="188"/>
      <c r="H41" s="190"/>
      <c r="J41" s="9"/>
      <c r="K41" s="9"/>
      <c r="L41" s="9"/>
    </row>
    <row r="42" spans="2:12" ht="12">
      <c r="B42" s="282"/>
      <c r="C42" s="302" t="s">
        <v>695</v>
      </c>
      <c r="D42" s="300"/>
      <c r="E42" s="300"/>
      <c r="F42" s="300"/>
      <c r="G42" s="300"/>
      <c r="H42" s="301"/>
      <c r="J42" s="9"/>
      <c r="K42" s="9"/>
      <c r="L42" s="9"/>
    </row>
    <row r="43" spans="2:12" ht="12">
      <c r="B43" s="282">
        <v>61</v>
      </c>
      <c r="C43" s="287" t="s">
        <v>696</v>
      </c>
      <c r="D43" s="188"/>
      <c r="E43" s="188"/>
      <c r="F43" s="188"/>
      <c r="G43" s="188"/>
      <c r="H43" s="190"/>
      <c r="J43" s="9"/>
      <c r="K43" s="9"/>
      <c r="L43" s="9"/>
    </row>
    <row r="44" spans="2:12" ht="12">
      <c r="B44" s="283">
        <v>62</v>
      </c>
      <c r="C44" s="287" t="s">
        <v>697</v>
      </c>
      <c r="D44" s="188"/>
      <c r="E44" s="188"/>
      <c r="F44" s="188"/>
      <c r="G44" s="188"/>
      <c r="H44" s="190"/>
      <c r="J44" s="9"/>
      <c r="K44" s="9"/>
      <c r="L44" s="9"/>
    </row>
    <row r="45" spans="2:12" ht="24">
      <c r="B45" s="283">
        <v>69</v>
      </c>
      <c r="C45" s="288" t="s">
        <v>698</v>
      </c>
      <c r="D45" s="188"/>
      <c r="E45" s="188"/>
      <c r="F45" s="188"/>
      <c r="G45" s="188"/>
      <c r="H45" s="190"/>
      <c r="J45" s="9"/>
      <c r="K45" s="9"/>
      <c r="L45" s="9"/>
    </row>
    <row r="46" spans="2:12" ht="12">
      <c r="B46" s="283"/>
      <c r="C46" s="286" t="s">
        <v>699</v>
      </c>
      <c r="D46" s="300"/>
      <c r="E46" s="300"/>
      <c r="F46" s="300"/>
      <c r="G46" s="300"/>
      <c r="H46" s="301"/>
      <c r="J46" s="9"/>
      <c r="K46" s="9"/>
      <c r="L46" s="9"/>
    </row>
    <row r="47" spans="2:12" ht="12">
      <c r="B47" s="283">
        <v>71</v>
      </c>
      <c r="C47" s="289" t="s">
        <v>700</v>
      </c>
      <c r="D47" s="188">
        <v>776105</v>
      </c>
      <c r="E47" s="188">
        <v>-6179.68</v>
      </c>
      <c r="F47" s="188">
        <v>-194845.29</v>
      </c>
      <c r="G47" s="188">
        <v>0</v>
      </c>
      <c r="H47" s="190">
        <v>-575080.03</v>
      </c>
      <c r="J47" s="9"/>
      <c r="K47" s="9"/>
      <c r="L47" s="9"/>
    </row>
    <row r="48" spans="2:12" ht="12">
      <c r="B48" s="283">
        <v>72</v>
      </c>
      <c r="C48" s="289" t="s">
        <v>701</v>
      </c>
      <c r="D48" s="188"/>
      <c r="E48" s="188"/>
      <c r="F48" s="188"/>
      <c r="G48" s="188"/>
      <c r="H48" s="190"/>
      <c r="J48" s="9"/>
      <c r="K48" s="9"/>
      <c r="L48" s="9"/>
    </row>
    <row r="49" spans="2:12" ht="24">
      <c r="B49" s="283">
        <v>73</v>
      </c>
      <c r="C49" s="290" t="s">
        <v>702</v>
      </c>
      <c r="D49" s="188"/>
      <c r="E49" s="188"/>
      <c r="F49" s="188"/>
      <c r="G49" s="188"/>
      <c r="H49" s="190"/>
      <c r="J49" s="9"/>
      <c r="K49" s="9"/>
      <c r="L49" s="9"/>
    </row>
    <row r="50" spans="2:12" ht="12">
      <c r="B50" s="283"/>
      <c r="C50" s="286" t="s">
        <v>703</v>
      </c>
      <c r="D50" s="300"/>
      <c r="E50" s="300"/>
      <c r="F50" s="300"/>
      <c r="G50" s="300"/>
      <c r="H50" s="301"/>
      <c r="J50" s="9"/>
      <c r="K50" s="9"/>
      <c r="L50" s="9"/>
    </row>
    <row r="51" spans="2:12" ht="12">
      <c r="B51" s="283">
        <v>81101</v>
      </c>
      <c r="C51" s="289" t="s">
        <v>704</v>
      </c>
      <c r="D51" s="188"/>
      <c r="E51" s="188"/>
      <c r="F51" s="188"/>
      <c r="G51" s="188"/>
      <c r="H51" s="190"/>
      <c r="J51" s="9"/>
      <c r="K51" s="9"/>
      <c r="L51" s="9"/>
    </row>
    <row r="52" spans="2:12" ht="12">
      <c r="B52" s="283">
        <v>81102</v>
      </c>
      <c r="C52" s="289" t="s">
        <v>705</v>
      </c>
      <c r="D52" s="188"/>
      <c r="E52" s="188"/>
      <c r="F52" s="188"/>
      <c r="G52" s="188"/>
      <c r="H52" s="190"/>
      <c r="J52" s="9"/>
      <c r="K52" s="9"/>
      <c r="L52" s="9"/>
    </row>
    <row r="53" spans="2:12" ht="12">
      <c r="B53" s="283">
        <v>81103</v>
      </c>
      <c r="C53" s="289" t="s">
        <v>706</v>
      </c>
      <c r="D53" s="188"/>
      <c r="E53" s="188"/>
      <c r="F53" s="188"/>
      <c r="G53" s="188"/>
      <c r="H53" s="190"/>
      <c r="J53" s="9"/>
      <c r="K53" s="9"/>
      <c r="L53" s="9"/>
    </row>
    <row r="54" spans="2:12" ht="12">
      <c r="B54" s="283">
        <v>81104</v>
      </c>
      <c r="C54" s="289" t="s">
        <v>707</v>
      </c>
      <c r="D54" s="188"/>
      <c r="E54" s="188"/>
      <c r="F54" s="188"/>
      <c r="G54" s="188"/>
      <c r="H54" s="190"/>
      <c r="J54" s="9"/>
      <c r="K54" s="9"/>
      <c r="L54" s="9"/>
    </row>
    <row r="55" spans="2:12" ht="12">
      <c r="B55" s="283">
        <v>81105</v>
      </c>
      <c r="C55" s="289" t="s">
        <v>708</v>
      </c>
      <c r="D55" s="188"/>
      <c r="E55" s="188"/>
      <c r="F55" s="188"/>
      <c r="G55" s="188"/>
      <c r="H55" s="190"/>
      <c r="J55" s="9"/>
      <c r="K55" s="9"/>
      <c r="L55" s="9"/>
    </row>
    <row r="56" spans="2:12" ht="12">
      <c r="B56" s="283">
        <v>81106</v>
      </c>
      <c r="C56" s="289" t="s">
        <v>709</v>
      </c>
      <c r="D56" s="188"/>
      <c r="E56" s="188"/>
      <c r="F56" s="188"/>
      <c r="G56" s="188"/>
      <c r="H56" s="190"/>
      <c r="J56" s="9"/>
      <c r="K56" s="9"/>
      <c r="L56" s="9"/>
    </row>
    <row r="57" spans="2:12" ht="12">
      <c r="B57" s="283">
        <v>81107</v>
      </c>
      <c r="C57" s="289" t="s">
        <v>710</v>
      </c>
      <c r="D57" s="188"/>
      <c r="E57" s="188"/>
      <c r="F57" s="188"/>
      <c r="G57" s="188"/>
      <c r="H57" s="190"/>
      <c r="J57" s="9"/>
      <c r="K57" s="9"/>
      <c r="L57" s="9"/>
    </row>
    <row r="58" spans="2:12" ht="12">
      <c r="B58" s="283">
        <v>81108</v>
      </c>
      <c r="C58" s="289" t="s">
        <v>711</v>
      </c>
      <c r="D58" s="188"/>
      <c r="E58" s="188"/>
      <c r="F58" s="188"/>
      <c r="G58" s="188"/>
      <c r="H58" s="190"/>
      <c r="J58" s="9"/>
      <c r="K58" s="9"/>
      <c r="L58" s="9"/>
    </row>
    <row r="59" spans="2:12" ht="12">
      <c r="B59" s="283">
        <v>81109</v>
      </c>
      <c r="C59" s="289" t="s">
        <v>712</v>
      </c>
      <c r="D59" s="188"/>
      <c r="E59" s="188"/>
      <c r="F59" s="188"/>
      <c r="G59" s="188"/>
      <c r="H59" s="190"/>
      <c r="J59" s="9"/>
      <c r="K59" s="9"/>
      <c r="L59" s="9"/>
    </row>
    <row r="60" spans="2:12" ht="12">
      <c r="B60" s="283">
        <v>81110</v>
      </c>
      <c r="C60" s="289" t="s">
        <v>713</v>
      </c>
      <c r="D60" s="188"/>
      <c r="E60" s="188"/>
      <c r="F60" s="188"/>
      <c r="G60" s="188"/>
      <c r="H60" s="190"/>
      <c r="J60" s="9"/>
      <c r="K60" s="9"/>
      <c r="L60" s="9"/>
    </row>
    <row r="61" spans="2:12" ht="12">
      <c r="B61" s="283">
        <v>81111</v>
      </c>
      <c r="C61" s="289" t="s">
        <v>714</v>
      </c>
      <c r="D61" s="188"/>
      <c r="E61" s="188"/>
      <c r="F61" s="188"/>
      <c r="G61" s="188"/>
      <c r="H61" s="190"/>
      <c r="J61" s="9"/>
      <c r="K61" s="9"/>
      <c r="L61" s="9"/>
    </row>
    <row r="62" spans="2:12" ht="12">
      <c r="B62" s="283"/>
      <c r="C62" s="286" t="s">
        <v>715</v>
      </c>
      <c r="D62" s="300"/>
      <c r="E62" s="300"/>
      <c r="F62" s="300"/>
      <c r="G62" s="300"/>
      <c r="H62" s="301"/>
      <c r="J62" s="9"/>
      <c r="K62" s="9"/>
      <c r="L62" s="9"/>
    </row>
    <row r="63" spans="2:12" ht="12">
      <c r="B63" s="283">
        <v>81112</v>
      </c>
      <c r="C63" s="289" t="s">
        <v>716</v>
      </c>
      <c r="D63" s="188"/>
      <c r="E63" s="188"/>
      <c r="F63" s="188"/>
      <c r="G63" s="188"/>
      <c r="H63" s="190"/>
      <c r="J63" s="9"/>
      <c r="K63" s="9"/>
      <c r="L63" s="9"/>
    </row>
    <row r="64" spans="2:12" ht="12">
      <c r="B64" s="283">
        <v>81113</v>
      </c>
      <c r="C64" s="289" t="s">
        <v>717</v>
      </c>
      <c r="D64" s="188"/>
      <c r="E64" s="188"/>
      <c r="F64" s="188"/>
      <c r="G64" s="188"/>
      <c r="H64" s="190"/>
      <c r="J64" s="9"/>
      <c r="K64" s="9"/>
      <c r="L64" s="9"/>
    </row>
    <row r="65" spans="2:12" ht="12">
      <c r="B65" s="283">
        <v>81114</v>
      </c>
      <c r="C65" s="289" t="s">
        <v>718</v>
      </c>
      <c r="D65" s="188"/>
      <c r="E65" s="188"/>
      <c r="F65" s="188"/>
      <c r="G65" s="188"/>
      <c r="H65" s="190"/>
      <c r="J65" s="9"/>
      <c r="K65" s="9"/>
      <c r="L65" s="9"/>
    </row>
    <row r="66" spans="2:12" ht="12">
      <c r="B66" s="283">
        <v>81115</v>
      </c>
      <c r="C66" s="289" t="s">
        <v>719</v>
      </c>
      <c r="D66" s="188"/>
      <c r="E66" s="188"/>
      <c r="F66" s="188"/>
      <c r="G66" s="188"/>
      <c r="H66" s="190"/>
      <c r="J66" s="9"/>
      <c r="K66" s="9"/>
      <c r="L66" s="9"/>
    </row>
    <row r="67" spans="2:12" ht="12">
      <c r="B67" s="283">
        <v>81116</v>
      </c>
      <c r="C67" s="289" t="s">
        <v>720</v>
      </c>
      <c r="D67" s="188"/>
      <c r="E67" s="188"/>
      <c r="F67" s="188"/>
      <c r="G67" s="188"/>
      <c r="H67" s="190"/>
      <c r="J67" s="9"/>
      <c r="K67" s="9"/>
      <c r="L67" s="9"/>
    </row>
    <row r="68" spans="2:12" ht="12">
      <c r="B68" s="283">
        <v>81117</v>
      </c>
      <c r="C68" s="286" t="s">
        <v>721</v>
      </c>
      <c r="D68" s="188"/>
      <c r="E68" s="188"/>
      <c r="F68" s="188"/>
      <c r="G68" s="188"/>
      <c r="H68" s="190"/>
      <c r="J68" s="9"/>
      <c r="K68" s="9"/>
      <c r="L68" s="9"/>
    </row>
    <row r="69" spans="2:12" ht="12">
      <c r="B69" s="283"/>
      <c r="C69" s="286" t="s">
        <v>722</v>
      </c>
      <c r="D69" s="300"/>
      <c r="E69" s="300"/>
      <c r="F69" s="300"/>
      <c r="G69" s="300"/>
      <c r="H69" s="301"/>
      <c r="J69" s="9"/>
      <c r="K69" s="9"/>
      <c r="L69" s="9"/>
    </row>
    <row r="70" spans="2:12" ht="12">
      <c r="B70" s="283">
        <v>83104</v>
      </c>
      <c r="C70" s="289" t="s">
        <v>723</v>
      </c>
      <c r="D70" s="188"/>
      <c r="E70" s="188"/>
      <c r="F70" s="188"/>
      <c r="G70" s="188"/>
      <c r="H70" s="190"/>
      <c r="J70" s="9"/>
      <c r="K70" s="9"/>
      <c r="L70" s="9"/>
    </row>
    <row r="71" spans="2:12" ht="12">
      <c r="B71" s="283"/>
      <c r="C71" s="286" t="s">
        <v>724</v>
      </c>
      <c r="D71" s="188"/>
      <c r="E71" s="188"/>
      <c r="F71" s="188"/>
      <c r="G71" s="188"/>
      <c r="H71" s="190"/>
      <c r="J71" s="9"/>
      <c r="K71" s="9"/>
      <c r="L71" s="9"/>
    </row>
    <row r="72" spans="2:12" ht="12">
      <c r="B72" s="283">
        <v>81119</v>
      </c>
      <c r="C72" s="289" t="s">
        <v>725</v>
      </c>
      <c r="D72" s="188"/>
      <c r="E72" s="188"/>
      <c r="F72" s="188"/>
      <c r="G72" s="188"/>
      <c r="H72" s="190"/>
      <c r="J72" s="9"/>
      <c r="K72" s="9"/>
      <c r="L72" s="9"/>
    </row>
    <row r="73" spans="2:12" ht="12">
      <c r="B73" s="283">
        <v>81120</v>
      </c>
      <c r="C73" s="289" t="s">
        <v>724</v>
      </c>
      <c r="D73" s="188"/>
      <c r="E73" s="188"/>
      <c r="F73" s="188"/>
      <c r="G73" s="188"/>
      <c r="H73" s="190"/>
      <c r="J73" s="9"/>
      <c r="K73" s="9"/>
      <c r="L73" s="9"/>
    </row>
    <row r="74" spans="2:12" ht="12">
      <c r="B74" s="283">
        <v>81121</v>
      </c>
      <c r="C74" s="285" t="s">
        <v>726</v>
      </c>
      <c r="D74" s="188"/>
      <c r="E74" s="188"/>
      <c r="F74" s="188"/>
      <c r="G74" s="188"/>
      <c r="H74" s="190"/>
      <c r="J74" s="9"/>
      <c r="K74" s="9"/>
      <c r="L74" s="9"/>
    </row>
    <row r="75" spans="2:12" ht="12">
      <c r="B75" s="283"/>
      <c r="C75" s="303"/>
      <c r="D75" s="300"/>
      <c r="E75" s="300"/>
      <c r="F75" s="300"/>
      <c r="G75" s="300"/>
      <c r="H75" s="301"/>
      <c r="I75" s="21"/>
      <c r="J75" s="9"/>
      <c r="K75" s="9"/>
      <c r="L75" s="9"/>
    </row>
    <row r="76" spans="2:12" ht="12">
      <c r="B76" s="283"/>
      <c r="C76" s="303" t="s">
        <v>727</v>
      </c>
      <c r="D76" s="300"/>
      <c r="E76" s="300"/>
      <c r="F76" s="300"/>
      <c r="G76" s="300"/>
      <c r="H76" s="301"/>
      <c r="I76" s="21"/>
      <c r="J76" s="9"/>
      <c r="K76" s="9"/>
      <c r="L76" s="9"/>
    </row>
    <row r="77" spans="2:12" ht="12">
      <c r="B77" s="283"/>
      <c r="C77" s="302" t="s">
        <v>728</v>
      </c>
      <c r="D77" s="300"/>
      <c r="E77" s="300"/>
      <c r="F77" s="300"/>
      <c r="G77" s="300"/>
      <c r="H77" s="301"/>
      <c r="I77" s="21"/>
      <c r="J77" s="9"/>
      <c r="K77" s="9"/>
      <c r="L77" s="9"/>
    </row>
    <row r="78" spans="2:12" ht="12">
      <c r="B78" s="283">
        <v>82101</v>
      </c>
      <c r="C78" s="289" t="s">
        <v>729</v>
      </c>
      <c r="D78" s="188">
        <v>6423385478</v>
      </c>
      <c r="E78" s="188">
        <v>-3111824295.96</v>
      </c>
      <c r="F78" s="188">
        <v>7369677.8</v>
      </c>
      <c r="G78" s="188">
        <f>-3106896355.57</f>
        <v>-3106896355.57</v>
      </c>
      <c r="H78" s="190">
        <v>-212034504.27</v>
      </c>
      <c r="J78" s="9"/>
      <c r="K78" s="9"/>
      <c r="L78" s="9"/>
    </row>
    <row r="79" spans="2:12" ht="12">
      <c r="B79" s="283">
        <v>82102</v>
      </c>
      <c r="C79" s="289" t="s">
        <v>730</v>
      </c>
      <c r="D79" s="188"/>
      <c r="E79" s="188"/>
      <c r="F79" s="188"/>
      <c r="G79" s="188"/>
      <c r="H79" s="190"/>
      <c r="J79" s="9"/>
      <c r="K79" s="9"/>
      <c r="L79" s="9"/>
    </row>
    <row r="80" spans="2:12" ht="12">
      <c r="B80" s="283">
        <v>82103</v>
      </c>
      <c r="C80" s="289" t="s">
        <v>731</v>
      </c>
      <c r="D80" s="188"/>
      <c r="E80" s="188"/>
      <c r="F80" s="188"/>
      <c r="G80" s="188"/>
      <c r="H80" s="190"/>
      <c r="J80" s="9"/>
      <c r="K80" s="9"/>
      <c r="L80" s="9"/>
    </row>
    <row r="81" spans="2:12" ht="24">
      <c r="B81" s="283">
        <v>82104</v>
      </c>
      <c r="C81" s="290" t="s">
        <v>732</v>
      </c>
      <c r="D81" s="188"/>
      <c r="E81" s="188"/>
      <c r="F81" s="188"/>
      <c r="G81" s="188"/>
      <c r="H81" s="190"/>
      <c r="J81" s="9"/>
      <c r="K81" s="9"/>
      <c r="L81" s="9"/>
    </row>
    <row r="82" spans="2:12" ht="12">
      <c r="B82" s="283">
        <v>82105</v>
      </c>
      <c r="C82" s="289" t="s">
        <v>733</v>
      </c>
      <c r="D82" s="188"/>
      <c r="E82" s="188"/>
      <c r="F82" s="188"/>
      <c r="G82" s="188"/>
      <c r="H82" s="190"/>
      <c r="J82" s="9"/>
      <c r="K82" s="9"/>
      <c r="L82" s="9"/>
    </row>
    <row r="83" spans="2:12" ht="12">
      <c r="B83" s="283">
        <v>82106</v>
      </c>
      <c r="C83" s="289" t="s">
        <v>734</v>
      </c>
      <c r="D83" s="188"/>
      <c r="E83" s="188"/>
      <c r="F83" s="188"/>
      <c r="G83" s="188"/>
      <c r="H83" s="190"/>
      <c r="J83" s="9"/>
      <c r="K83" s="9"/>
      <c r="L83" s="9"/>
    </row>
    <row r="84" spans="2:12" ht="12">
      <c r="B84" s="283">
        <v>82107</v>
      </c>
      <c r="C84" s="289" t="s">
        <v>735</v>
      </c>
      <c r="D84" s="188"/>
      <c r="E84" s="188"/>
      <c r="F84" s="188"/>
      <c r="G84" s="188"/>
      <c r="H84" s="190"/>
      <c r="J84" s="9"/>
      <c r="K84" s="9"/>
      <c r="L84" s="9"/>
    </row>
    <row r="85" spans="2:12" ht="12">
      <c r="B85" s="283">
        <v>82108</v>
      </c>
      <c r="C85" s="289" t="s">
        <v>736</v>
      </c>
      <c r="D85" s="188"/>
      <c r="E85" s="188"/>
      <c r="F85" s="188"/>
      <c r="G85" s="188"/>
      <c r="H85" s="190"/>
      <c r="J85" s="9"/>
      <c r="K85" s="9"/>
      <c r="L85" s="9"/>
    </row>
    <row r="86" spans="2:12" ht="12">
      <c r="B86" s="283"/>
      <c r="C86" s="286" t="s">
        <v>722</v>
      </c>
      <c r="D86" s="300"/>
      <c r="E86" s="300"/>
      <c r="F86" s="300"/>
      <c r="G86" s="300"/>
      <c r="H86" s="301"/>
      <c r="J86" s="9"/>
      <c r="K86" s="9"/>
      <c r="L86" s="9"/>
    </row>
    <row r="87" spans="2:12" ht="12">
      <c r="B87" s="283">
        <v>83101</v>
      </c>
      <c r="C87" s="289" t="s">
        <v>737</v>
      </c>
      <c r="D87" s="188"/>
      <c r="E87" s="188"/>
      <c r="F87" s="188"/>
      <c r="G87" s="188"/>
      <c r="H87" s="190"/>
      <c r="J87" s="9"/>
      <c r="K87" s="9"/>
      <c r="L87" s="9"/>
    </row>
    <row r="88" spans="2:12" ht="12">
      <c r="B88" s="283">
        <v>83102</v>
      </c>
      <c r="C88" s="289" t="s">
        <v>738</v>
      </c>
      <c r="D88" s="188"/>
      <c r="E88" s="188"/>
      <c r="F88" s="188"/>
      <c r="G88" s="188"/>
      <c r="H88" s="190"/>
      <c r="J88" s="9"/>
      <c r="K88" s="9"/>
      <c r="L88" s="9"/>
    </row>
    <row r="89" spans="2:12" ht="12">
      <c r="B89" s="283">
        <v>83103</v>
      </c>
      <c r="C89" s="289" t="s">
        <v>739</v>
      </c>
      <c r="D89" s="188"/>
      <c r="E89" s="188"/>
      <c r="F89" s="188"/>
      <c r="G89" s="188"/>
      <c r="H89" s="190"/>
      <c r="J89" s="9"/>
      <c r="K89" s="9"/>
      <c r="L89" s="9"/>
    </row>
    <row r="90" spans="2:12" ht="12">
      <c r="B90" s="283">
        <v>83104</v>
      </c>
      <c r="C90" s="289" t="s">
        <v>723</v>
      </c>
      <c r="D90" s="188"/>
      <c r="E90" s="188"/>
      <c r="F90" s="188"/>
      <c r="G90" s="188"/>
      <c r="H90" s="190"/>
      <c r="J90" s="9"/>
      <c r="K90" s="9"/>
      <c r="L90" s="9"/>
    </row>
    <row r="91" spans="2:12" ht="12">
      <c r="B91" s="283"/>
      <c r="C91" s="302" t="s">
        <v>740</v>
      </c>
      <c r="D91" s="300"/>
      <c r="E91" s="300"/>
      <c r="F91" s="300"/>
      <c r="G91" s="300"/>
      <c r="H91" s="301"/>
      <c r="J91" s="9"/>
      <c r="K91" s="9"/>
      <c r="L91" s="9"/>
    </row>
    <row r="92" spans="2:12" ht="12">
      <c r="B92" s="283">
        <v>91101</v>
      </c>
      <c r="C92" s="289" t="s">
        <v>741</v>
      </c>
      <c r="D92" s="188"/>
      <c r="E92" s="188"/>
      <c r="F92" s="188"/>
      <c r="G92" s="188"/>
      <c r="H92" s="190"/>
      <c r="J92" s="9"/>
      <c r="K92" s="9"/>
      <c r="L92" s="9"/>
    </row>
    <row r="93" spans="2:12" ht="12">
      <c r="B93" s="283">
        <v>91102</v>
      </c>
      <c r="C93" s="289" t="s">
        <v>742</v>
      </c>
      <c r="D93" s="188"/>
      <c r="E93" s="188"/>
      <c r="F93" s="188"/>
      <c r="G93" s="188"/>
      <c r="H93" s="190"/>
      <c r="J93" s="9"/>
      <c r="K93" s="9"/>
      <c r="L93" s="9"/>
    </row>
    <row r="94" spans="2:12" ht="12">
      <c r="B94" s="283"/>
      <c r="C94" s="302" t="s">
        <v>743</v>
      </c>
      <c r="D94" s="300"/>
      <c r="E94" s="300"/>
      <c r="F94" s="300"/>
      <c r="G94" s="300"/>
      <c r="H94" s="301"/>
      <c r="J94" s="9"/>
      <c r="K94" s="9"/>
      <c r="L94" s="9"/>
    </row>
    <row r="95" spans="2:12" ht="12">
      <c r="B95" s="283">
        <v>91</v>
      </c>
      <c r="C95" s="289" t="s">
        <v>744</v>
      </c>
      <c r="D95" s="188">
        <v>577072515</v>
      </c>
      <c r="E95" s="188">
        <v>-161252887.38</v>
      </c>
      <c r="F95" s="188">
        <v>129944498.58</v>
      </c>
      <c r="G95" s="188">
        <f>-388.71</f>
        <v>-388.71</v>
      </c>
      <c r="H95" s="190">
        <v>-545763737.49</v>
      </c>
      <c r="J95" s="9"/>
      <c r="K95" s="9"/>
      <c r="L95" s="9"/>
    </row>
    <row r="96" spans="2:12" ht="12">
      <c r="B96" s="283">
        <v>9201</v>
      </c>
      <c r="C96" s="289" t="s">
        <v>745</v>
      </c>
      <c r="D96" s="188"/>
      <c r="E96" s="188"/>
      <c r="F96" s="188"/>
      <c r="G96" s="188"/>
      <c r="H96" s="190"/>
      <c r="J96" s="9"/>
      <c r="K96" s="9"/>
      <c r="L96" s="9"/>
    </row>
    <row r="97" spans="2:12" ht="12">
      <c r="B97" s="283">
        <v>93</v>
      </c>
      <c r="C97" s="289" t="s">
        <v>746</v>
      </c>
      <c r="D97" s="188"/>
      <c r="E97" s="188"/>
      <c r="F97" s="188"/>
      <c r="G97" s="188"/>
      <c r="H97" s="190"/>
      <c r="J97" s="9"/>
      <c r="K97" s="9"/>
      <c r="L97" s="9"/>
    </row>
    <row r="98" spans="2:12" ht="12">
      <c r="B98" s="283">
        <v>94</v>
      </c>
      <c r="C98" s="289" t="s">
        <v>747</v>
      </c>
      <c r="D98" s="188"/>
      <c r="E98" s="188"/>
      <c r="F98" s="188"/>
      <c r="G98" s="188"/>
      <c r="H98" s="190"/>
      <c r="J98" s="9"/>
      <c r="K98" s="9"/>
      <c r="L98" s="9"/>
    </row>
    <row r="99" spans="2:12" ht="12">
      <c r="B99" s="283">
        <v>95</v>
      </c>
      <c r="C99" s="289" t="s">
        <v>748</v>
      </c>
      <c r="D99" s="188"/>
      <c r="E99" s="188"/>
      <c r="F99" s="188"/>
      <c r="G99" s="188"/>
      <c r="H99" s="190"/>
      <c r="J99" s="9"/>
      <c r="K99" s="9"/>
      <c r="L99" s="9"/>
    </row>
    <row r="100" spans="2:12" ht="12">
      <c r="B100" s="283">
        <v>96</v>
      </c>
      <c r="C100" s="289" t="s">
        <v>749</v>
      </c>
      <c r="D100" s="188"/>
      <c r="E100" s="188"/>
      <c r="F100" s="188"/>
      <c r="G100" s="188"/>
      <c r="H100" s="190"/>
      <c r="J100" s="9"/>
      <c r="K100" s="9"/>
      <c r="L100" s="9"/>
    </row>
    <row r="101" spans="2:12" ht="12">
      <c r="B101" s="283">
        <v>9202</v>
      </c>
      <c r="C101" s="285" t="s">
        <v>750</v>
      </c>
      <c r="D101" s="188"/>
      <c r="E101" s="188"/>
      <c r="F101" s="188"/>
      <c r="G101" s="188"/>
      <c r="H101" s="190"/>
      <c r="J101" s="9"/>
      <c r="K101" s="9"/>
      <c r="L101" s="9"/>
    </row>
    <row r="102" spans="2:12" ht="12">
      <c r="B102" s="283"/>
      <c r="C102" s="285"/>
      <c r="D102" s="188"/>
      <c r="E102" s="188"/>
      <c r="F102" s="188"/>
      <c r="G102" s="188"/>
      <c r="H102" s="190"/>
      <c r="J102" s="9"/>
      <c r="K102" s="9"/>
      <c r="L102" s="9"/>
    </row>
    <row r="103" spans="2:12" ht="12">
      <c r="B103" s="283"/>
      <c r="C103" s="303" t="s">
        <v>751</v>
      </c>
      <c r="D103" s="300"/>
      <c r="E103" s="300"/>
      <c r="F103" s="300"/>
      <c r="G103" s="300"/>
      <c r="H103" s="301"/>
      <c r="J103" s="9"/>
      <c r="K103" s="9"/>
      <c r="L103" s="9"/>
    </row>
    <row r="104" spans="2:12" ht="12">
      <c r="B104" s="284" t="s">
        <v>5</v>
      </c>
      <c r="C104" s="287" t="s">
        <v>752</v>
      </c>
      <c r="D104" s="188"/>
      <c r="E104" s="188"/>
      <c r="F104" s="188"/>
      <c r="G104" s="188"/>
      <c r="H104" s="190"/>
      <c r="J104" s="9"/>
      <c r="K104" s="9"/>
      <c r="L104" s="9"/>
    </row>
    <row r="105" spans="2:12" ht="12">
      <c r="B105" s="284" t="s">
        <v>6</v>
      </c>
      <c r="C105" s="287" t="s">
        <v>753</v>
      </c>
      <c r="D105" s="188"/>
      <c r="E105" s="188"/>
      <c r="F105" s="188"/>
      <c r="G105" s="188"/>
      <c r="H105" s="190"/>
      <c r="J105" s="9"/>
      <c r="K105" s="9"/>
      <c r="L105" s="9"/>
    </row>
    <row r="106" spans="1:256" s="15" customFormat="1" ht="12">
      <c r="A106" s="12"/>
      <c r="B106" s="14"/>
      <c r="D106" s="16">
        <f>SUM(D11:D105)</f>
        <v>7002457993</v>
      </c>
      <c r="E106" s="16">
        <f>SUM(E11:E105)</f>
        <v>-3273136612.2400002</v>
      </c>
      <c r="F106" s="16">
        <f>SUM(F11:F105)</f>
        <v>137534261.34</v>
      </c>
      <c r="G106" s="16">
        <f>SUM(G11:G105)</f>
        <v>-3106896744.28</v>
      </c>
      <c r="H106" s="16">
        <f>SUM(H11:H105)</f>
        <v>-759958897.82</v>
      </c>
      <c r="I106" s="12"/>
      <c r="J106" s="13"/>
      <c r="K106" s="13"/>
      <c r="L106" s="13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  <c r="IP106" s="12"/>
      <c r="IQ106" s="12"/>
      <c r="IR106" s="12"/>
      <c r="IS106" s="12"/>
      <c r="IT106" s="12"/>
      <c r="IU106" s="12"/>
      <c r="IV106" s="12"/>
    </row>
    <row r="107" ht="12">
      <c r="A107" s="12"/>
    </row>
    <row r="108" spans="1:4" ht="12">
      <c r="A108" s="12"/>
      <c r="D108" s="11" t="str">
        <f>IF(SUM(D106:H106)=0," ","ERROR EN LA SUMATORIA DE LOS SALDOS, LA SUMA DE TODAS LAS COLUMNAS DEBE SER CERO, HAY UN DESCUADRE POR: "&amp;SUM(D106:H106))</f>
        <v> </v>
      </c>
    </row>
    <row r="109" spans="1:13" s="6" customFormat="1" ht="12">
      <c r="A109" s="12"/>
      <c r="B109" s="2"/>
      <c r="C109" s="2"/>
      <c r="D109" s="2"/>
      <c r="E109" s="11"/>
      <c r="H109" s="7"/>
      <c r="I109" s="2"/>
      <c r="J109" s="2"/>
      <c r="K109" s="2"/>
      <c r="L109" s="2"/>
      <c r="M109" s="2"/>
    </row>
    <row r="110" spans="2:13" s="6" customFormat="1" ht="12">
      <c r="B110" s="2"/>
      <c r="C110" s="2"/>
      <c r="D110" s="2"/>
      <c r="F110" s="11"/>
      <c r="H110" s="7"/>
      <c r="I110" s="2"/>
      <c r="J110" s="2"/>
      <c r="K110" s="2"/>
      <c r="L110" s="2"/>
      <c r="M110" s="2"/>
    </row>
    <row r="145" ht="12">
      <c r="C145" s="2" t="s">
        <v>722</v>
      </c>
    </row>
    <row r="146" spans="2:3" ht="12">
      <c r="B146" s="2">
        <v>83101</v>
      </c>
      <c r="C146" s="2" t="s">
        <v>737</v>
      </c>
    </row>
    <row r="147" spans="2:3" ht="12">
      <c r="B147" s="2">
        <v>83102</v>
      </c>
      <c r="C147" s="2" t="s">
        <v>738</v>
      </c>
    </row>
    <row r="148" spans="2:3" ht="12">
      <c r="B148" s="2">
        <v>83103</v>
      </c>
      <c r="C148" s="2" t="s">
        <v>739</v>
      </c>
    </row>
    <row r="149" spans="2:3" ht="12">
      <c r="B149" s="2">
        <v>83104</v>
      </c>
      <c r="C149" s="2" t="s">
        <v>723</v>
      </c>
    </row>
    <row r="150" ht="12">
      <c r="C150" s="2" t="s">
        <v>740</v>
      </c>
    </row>
    <row r="151" spans="2:3" ht="12">
      <c r="B151" s="2">
        <v>91101</v>
      </c>
      <c r="C151" s="2" t="s">
        <v>741</v>
      </c>
    </row>
    <row r="152" spans="2:3" ht="12">
      <c r="B152" s="2">
        <v>91102</v>
      </c>
      <c r="C152" s="2" t="s">
        <v>742</v>
      </c>
    </row>
    <row r="153" ht="12">
      <c r="C153" s="2" t="s">
        <v>743</v>
      </c>
    </row>
    <row r="154" spans="2:3" ht="12">
      <c r="B154" s="2">
        <v>91</v>
      </c>
      <c r="C154" s="2" t="s">
        <v>744</v>
      </c>
    </row>
    <row r="155" spans="2:3" ht="12">
      <c r="B155" s="2">
        <v>9201</v>
      </c>
      <c r="C155" s="2" t="s">
        <v>745</v>
      </c>
    </row>
    <row r="156" spans="2:3" ht="12">
      <c r="B156" s="2">
        <v>93</v>
      </c>
      <c r="C156" s="2" t="s">
        <v>746</v>
      </c>
    </row>
    <row r="157" spans="2:3" ht="12">
      <c r="B157" s="2">
        <v>94</v>
      </c>
      <c r="C157" s="2" t="s">
        <v>747</v>
      </c>
    </row>
    <row r="158" spans="2:3" ht="12">
      <c r="B158" s="2">
        <v>95</v>
      </c>
      <c r="C158" s="2" t="s">
        <v>748</v>
      </c>
    </row>
    <row r="159" spans="2:3" ht="12">
      <c r="B159" s="2">
        <v>96</v>
      </c>
      <c r="C159" s="2" t="s">
        <v>749</v>
      </c>
    </row>
    <row r="160" spans="2:3" ht="12">
      <c r="B160" s="2">
        <v>9202</v>
      </c>
      <c r="C160" s="2" t="s">
        <v>750</v>
      </c>
    </row>
    <row r="161" ht="12">
      <c r="C161" s="2" t="s">
        <v>751</v>
      </c>
    </row>
    <row r="162" spans="2:3" ht="12">
      <c r="B162" s="2">
        <v>1</v>
      </c>
      <c r="C162" s="2" t="s">
        <v>752</v>
      </c>
    </row>
    <row r="163" spans="2:3" ht="12">
      <c r="B163" s="2">
        <v>2</v>
      </c>
      <c r="C163" s="2" t="s">
        <v>753</v>
      </c>
    </row>
  </sheetData>
  <sheetProtection sheet="1" objects="1" scenarios="1" selectLockedCells="1"/>
  <mergeCells count="7">
    <mergeCell ref="B9:C9"/>
    <mergeCell ref="D9:H9"/>
    <mergeCell ref="C2:H2"/>
    <mergeCell ref="C3:H3"/>
    <mergeCell ref="C4:H4"/>
    <mergeCell ref="C7:H7"/>
    <mergeCell ref="C5:H5"/>
  </mergeCells>
  <printOptions/>
  <pageMargins left="0.708661417322835" right="0.708661417322835" top="0.748031496062992" bottom="0.748031496062992" header="0.31496062992126" footer="0.31496062992126"/>
  <pageSetup blackAndWhite="1" draft="1" fitToHeight="1" fitToWidth="1" horizontalDpi="600" verticalDpi="600" orientation="portrait" scale="51" r:id="rId1"/>
  <headerFooter>
    <oddFooter>&amp;LBorrador&amp;C&amp;A&amp;RPágina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5"/>
  <sheetViews>
    <sheetView showGridLines="0" view="pageBreakPreview" zoomScaleNormal="90" zoomScaleSheetLayoutView="100" zoomScalePageLayoutView="0" workbookViewId="0" topLeftCell="A1">
      <selection activeCell="H51" sqref="H51"/>
    </sheetView>
  </sheetViews>
  <sheetFormatPr defaultColWidth="11.421875" defaultRowHeight="15"/>
  <cols>
    <col min="1" max="1" width="1.1484375" style="21" customWidth="1"/>
    <col min="2" max="3" width="3.7109375" style="3" customWidth="1"/>
    <col min="4" max="4" width="46.421875" style="3" customWidth="1"/>
    <col min="5" max="10" width="15.7109375" style="3" customWidth="1"/>
    <col min="11" max="11" width="1.421875" style="21" customWidth="1"/>
    <col min="12" max="16384" width="11.421875" style="3" customWidth="1"/>
  </cols>
  <sheetData>
    <row r="1" s="21" customFormat="1" ht="12"/>
    <row r="2" spans="2:10" ht="12">
      <c r="B2" s="677"/>
      <c r="C2" s="677"/>
      <c r="D2" s="677"/>
      <c r="E2" s="677"/>
      <c r="F2" s="677"/>
      <c r="G2" s="677"/>
      <c r="H2" s="677"/>
      <c r="I2" s="677"/>
      <c r="J2" s="677"/>
    </row>
    <row r="3" spans="2:10" ht="12">
      <c r="B3" s="680" t="s">
        <v>214</v>
      </c>
      <c r="C3" s="680"/>
      <c r="D3" s="680"/>
      <c r="E3" s="680"/>
      <c r="F3" s="680"/>
      <c r="G3" s="680"/>
      <c r="H3" s="680"/>
      <c r="I3" s="680"/>
      <c r="J3" s="680"/>
    </row>
    <row r="4" spans="2:10" ht="12">
      <c r="B4" s="680" t="str">
        <f>"Del 1 de enero al "&amp;TEXT(INDEX(Periodos,ENTE!D18,1),"dd")&amp;" de "&amp;TEXT(INDEX(Periodos,ENTE!D18,1),"mmmm")&amp;" de "&amp;TEXT(INDEX(Periodos,ENTE!D18,1),"aaaa")&amp;""</f>
        <v>Del 1 de enero al 30 de septiembre de 2017</v>
      </c>
      <c r="C4" s="680"/>
      <c r="D4" s="680"/>
      <c r="E4" s="680"/>
      <c r="F4" s="680"/>
      <c r="G4" s="680"/>
      <c r="H4" s="680"/>
      <c r="I4" s="680"/>
      <c r="J4" s="680"/>
    </row>
    <row r="5" spans="2:10" ht="12">
      <c r="B5" s="680" t="s">
        <v>92</v>
      </c>
      <c r="C5" s="680"/>
      <c r="D5" s="680"/>
      <c r="E5" s="680"/>
      <c r="F5" s="680"/>
      <c r="G5" s="680"/>
      <c r="H5" s="680"/>
      <c r="I5" s="680"/>
      <c r="J5" s="680"/>
    </row>
    <row r="6" spans="2:10" ht="12">
      <c r="B6" s="680"/>
      <c r="C6" s="680"/>
      <c r="D6" s="680"/>
      <c r="E6" s="680"/>
      <c r="F6" s="680"/>
      <c r="G6" s="680"/>
      <c r="H6" s="680"/>
      <c r="I6" s="680"/>
      <c r="J6" s="680"/>
    </row>
    <row r="7" spans="2:10" ht="16.5" customHeight="1">
      <c r="B7" s="684" t="s">
        <v>4</v>
      </c>
      <c r="C7" s="684"/>
      <c r="D7" s="679" t="str">
        <f>ENTE!D8</f>
        <v>UNIDAD DE SERVICIOS PARA LA EDUCACION BASICA EN EL ESTADO DE QUERETARO</v>
      </c>
      <c r="E7" s="679"/>
      <c r="F7" s="679"/>
      <c r="G7" s="679"/>
      <c r="H7" s="679"/>
      <c r="I7" s="679"/>
      <c r="J7" s="679"/>
    </row>
    <row r="8" spans="1:10" s="21" customFormat="1" ht="12">
      <c r="A8" s="96"/>
      <c r="B8" s="96"/>
      <c r="C8" s="96"/>
      <c r="D8" s="96"/>
      <c r="F8" s="97"/>
      <c r="G8" s="97"/>
      <c r="H8" s="97"/>
      <c r="I8" s="97"/>
      <c r="J8" s="97"/>
    </row>
    <row r="9" spans="1:10" ht="12" customHeight="1">
      <c r="A9" s="98"/>
      <c r="B9" s="685" t="s">
        <v>215</v>
      </c>
      <c r="C9" s="685"/>
      <c r="D9" s="685"/>
      <c r="E9" s="685" t="s">
        <v>216</v>
      </c>
      <c r="F9" s="685"/>
      <c r="G9" s="685"/>
      <c r="H9" s="685"/>
      <c r="I9" s="685"/>
      <c r="J9" s="686" t="s">
        <v>217</v>
      </c>
    </row>
    <row r="10" spans="1:10" ht="24">
      <c r="A10" s="96"/>
      <c r="B10" s="685"/>
      <c r="C10" s="685"/>
      <c r="D10" s="685"/>
      <c r="E10" s="351" t="s">
        <v>218</v>
      </c>
      <c r="F10" s="196" t="s">
        <v>219</v>
      </c>
      <c r="G10" s="351" t="s">
        <v>220</v>
      </c>
      <c r="H10" s="351" t="s">
        <v>221</v>
      </c>
      <c r="I10" s="351" t="s">
        <v>222</v>
      </c>
      <c r="J10" s="686"/>
    </row>
    <row r="11" spans="1:10" ht="12" customHeight="1">
      <c r="A11" s="96"/>
      <c r="B11" s="685"/>
      <c r="C11" s="685"/>
      <c r="D11" s="685"/>
      <c r="E11" s="351" t="s">
        <v>223</v>
      </c>
      <c r="F11" s="351" t="s">
        <v>224</v>
      </c>
      <c r="G11" s="351" t="s">
        <v>225</v>
      </c>
      <c r="H11" s="351" t="s">
        <v>226</v>
      </c>
      <c r="I11" s="351" t="s">
        <v>227</v>
      </c>
      <c r="J11" s="351" t="s">
        <v>228</v>
      </c>
    </row>
    <row r="12" spans="1:10" ht="12" customHeight="1">
      <c r="A12" s="99"/>
      <c r="B12" s="100"/>
      <c r="C12" s="101"/>
      <c r="D12" s="102"/>
      <c r="E12" s="103"/>
      <c r="F12" s="104"/>
      <c r="G12" s="104"/>
      <c r="H12" s="104"/>
      <c r="I12" s="104"/>
      <c r="J12" s="104"/>
    </row>
    <row r="13" spans="1:10" ht="12" customHeight="1">
      <c r="A13" s="99"/>
      <c r="B13" s="681" t="s">
        <v>98</v>
      </c>
      <c r="C13" s="682"/>
      <c r="D13" s="683"/>
      <c r="E13" s="105">
        <f>SUM(SCRI!D13:D21)</f>
        <v>0</v>
      </c>
      <c r="F13" s="105">
        <f>SUM(SCRI!F13:F21)</f>
        <v>0</v>
      </c>
      <c r="G13" s="105">
        <f aca="true" t="shared" si="0" ref="G13:G18">+E13+F13</f>
        <v>0</v>
      </c>
      <c r="H13" s="105">
        <f>-SUM(SCRI!G13:G21,SCRI!H13:H21)</f>
        <v>0</v>
      </c>
      <c r="I13" s="105">
        <f>-SUM(SCRI!H13:H21)</f>
        <v>0</v>
      </c>
      <c r="J13" s="105">
        <f>+I13-E13</f>
        <v>0</v>
      </c>
    </row>
    <row r="14" spans="1:10" ht="12" customHeight="1">
      <c r="A14" s="99"/>
      <c r="B14" s="681" t="s">
        <v>212</v>
      </c>
      <c r="C14" s="682"/>
      <c r="D14" s="683"/>
      <c r="E14" s="105">
        <f>SUM(SCRI!D23:D27)</f>
        <v>0</v>
      </c>
      <c r="F14" s="105">
        <f>SUM(SCRI!F23:F27)</f>
        <v>0</v>
      </c>
      <c r="G14" s="105">
        <f t="shared" si="0"/>
        <v>0</v>
      </c>
      <c r="H14" s="105">
        <f>-SUM(SCRI!G23:G27,SCRI!H23:H27)</f>
        <v>0</v>
      </c>
      <c r="I14" s="105">
        <f>-SUM(SCRI!H23:H27)</f>
        <v>0</v>
      </c>
      <c r="J14" s="105">
        <f aca="true" t="shared" si="1" ref="J14:J26">+I14-E14</f>
        <v>0</v>
      </c>
    </row>
    <row r="15" spans="1:10" ht="12" customHeight="1">
      <c r="A15" s="99"/>
      <c r="B15" s="681" t="s">
        <v>102</v>
      </c>
      <c r="C15" s="682"/>
      <c r="D15" s="683"/>
      <c r="E15" s="105">
        <f>SUM(SCRI!D29:D30)</f>
        <v>0</v>
      </c>
      <c r="F15" s="105">
        <f>SUM(SCRI!F29:F30)</f>
        <v>0</v>
      </c>
      <c r="G15" s="105">
        <f t="shared" si="0"/>
        <v>0</v>
      </c>
      <c r="H15" s="105">
        <f>-SUM(SCRI!G29:G30,SCRI!H29:H30)</f>
        <v>0</v>
      </c>
      <c r="I15" s="105">
        <f>-SUM(SCRI!H29:H30)</f>
        <v>0</v>
      </c>
      <c r="J15" s="105">
        <f t="shared" si="1"/>
        <v>0</v>
      </c>
    </row>
    <row r="16" spans="1:10" ht="12" customHeight="1">
      <c r="A16" s="99"/>
      <c r="B16" s="681" t="s">
        <v>104</v>
      </c>
      <c r="C16" s="682"/>
      <c r="D16" s="683"/>
      <c r="E16" s="105">
        <f>SUM(SCRI!D32:D37)</f>
        <v>0</v>
      </c>
      <c r="F16" s="105">
        <f>SUM(SCRI!F32:F37)</f>
        <v>0</v>
      </c>
      <c r="G16" s="105">
        <f t="shared" si="0"/>
        <v>0</v>
      </c>
      <c r="H16" s="105">
        <f>-SUM(SCRI!G32:G37,SCRI!H32:H37)</f>
        <v>0</v>
      </c>
      <c r="I16" s="105">
        <f>-SUM(SCRI!H32:H37)</f>
        <v>0</v>
      </c>
      <c r="J16" s="105">
        <f t="shared" si="1"/>
        <v>0</v>
      </c>
    </row>
    <row r="17" spans="1:10" ht="12" customHeight="1">
      <c r="A17" s="99"/>
      <c r="B17" s="681" t="s">
        <v>229</v>
      </c>
      <c r="C17" s="682"/>
      <c r="D17" s="683"/>
      <c r="E17" s="105">
        <f>+E18+E19</f>
        <v>1223895</v>
      </c>
      <c r="F17" s="105">
        <f>+F18+F19</f>
        <v>414930.25</v>
      </c>
      <c r="G17" s="105">
        <f t="shared" si="0"/>
        <v>1638825.25</v>
      </c>
      <c r="H17" s="105">
        <f>+H18+H19</f>
        <v>1585576.03</v>
      </c>
      <c r="I17" s="105">
        <f>+I18+I19</f>
        <v>1585576.03</v>
      </c>
      <c r="J17" s="105">
        <f t="shared" si="1"/>
        <v>361681.03</v>
      </c>
    </row>
    <row r="18" spans="1:10" ht="12" customHeight="1">
      <c r="A18" s="99"/>
      <c r="B18" s="106"/>
      <c r="C18" s="682" t="s">
        <v>230</v>
      </c>
      <c r="D18" s="683"/>
      <c r="E18" s="105">
        <f>+SCRI!D39+SCRI!D41</f>
        <v>1223895</v>
      </c>
      <c r="F18" s="105">
        <f>+SCRI!F39+SCRI!F41</f>
        <v>414930.25</v>
      </c>
      <c r="G18" s="105">
        <f t="shared" si="0"/>
        <v>1638825.25</v>
      </c>
      <c r="H18" s="105">
        <f>-(SCRI!G39+SCRI!G41+SCRI!H39+SCRI!H41)</f>
        <v>1585576.03</v>
      </c>
      <c r="I18" s="105">
        <f>-(SCRI!H39+SCRI!H41)</f>
        <v>1585576.03</v>
      </c>
      <c r="J18" s="105">
        <f t="shared" si="1"/>
        <v>361681.03</v>
      </c>
    </row>
    <row r="19" spans="1:10" ht="12" customHeight="1">
      <c r="A19" s="99"/>
      <c r="B19" s="106"/>
      <c r="C19" s="682" t="s">
        <v>231</v>
      </c>
      <c r="D19" s="683"/>
      <c r="E19" s="105">
        <f>+SCRI!D40</f>
        <v>0</v>
      </c>
      <c r="F19" s="105">
        <f>+SCRI!F40</f>
        <v>0</v>
      </c>
      <c r="G19" s="105">
        <f>+E19+F19</f>
        <v>0</v>
      </c>
      <c r="H19" s="105">
        <f>-(SCRI!G40+SCRI!H40)</f>
        <v>0</v>
      </c>
      <c r="I19" s="105">
        <f>-SCRI!H40</f>
        <v>0</v>
      </c>
      <c r="J19" s="105">
        <f t="shared" si="1"/>
        <v>0</v>
      </c>
    </row>
    <row r="20" spans="1:10" ht="12" customHeight="1">
      <c r="A20" s="99"/>
      <c r="B20" s="681" t="s">
        <v>232</v>
      </c>
      <c r="C20" s="682"/>
      <c r="D20" s="683"/>
      <c r="E20" s="105">
        <f>+E21+E22</f>
        <v>0</v>
      </c>
      <c r="F20" s="105">
        <f>+F21+F22</f>
        <v>0</v>
      </c>
      <c r="G20" s="105">
        <f>+E20+F20</f>
        <v>0</v>
      </c>
      <c r="H20" s="105">
        <f>+H21+H22</f>
        <v>0</v>
      </c>
      <c r="I20" s="105">
        <f>+I21+I22</f>
        <v>0</v>
      </c>
      <c r="J20" s="105">
        <f t="shared" si="1"/>
        <v>0</v>
      </c>
    </row>
    <row r="21" spans="1:10" ht="12" customHeight="1">
      <c r="A21" s="99"/>
      <c r="B21" s="106"/>
      <c r="C21" s="682" t="s">
        <v>230</v>
      </c>
      <c r="D21" s="683"/>
      <c r="E21" s="105">
        <f>+SCRI!D43+SCRI!D45</f>
        <v>0</v>
      </c>
      <c r="F21" s="105">
        <f>+SCRI!F43+SCRI!F45</f>
        <v>0</v>
      </c>
      <c r="G21" s="105">
        <f>+E21+F21</f>
        <v>0</v>
      </c>
      <c r="H21" s="105">
        <f>-(SCRI!G43+SCRI!G45+SCRI!H43+SCRI!H45)</f>
        <v>0</v>
      </c>
      <c r="I21" s="105">
        <f>-(SCRI!H43+SCRI!H45)</f>
        <v>0</v>
      </c>
      <c r="J21" s="105">
        <f t="shared" si="1"/>
        <v>0</v>
      </c>
    </row>
    <row r="22" spans="1:10" ht="12" customHeight="1">
      <c r="A22" s="99"/>
      <c r="B22" s="106"/>
      <c r="C22" s="682" t="s">
        <v>231</v>
      </c>
      <c r="D22" s="683"/>
      <c r="E22" s="105">
        <f>+SCRI!D44</f>
        <v>0</v>
      </c>
      <c r="F22" s="105">
        <f>+SCRI!F44</f>
        <v>0</v>
      </c>
      <c r="G22" s="105">
        <f>+E22-F22</f>
        <v>0</v>
      </c>
      <c r="H22" s="105">
        <f>-(SCRI!G44+SCRI!H44)</f>
        <v>0</v>
      </c>
      <c r="I22" s="105">
        <f>-SCRI!H44</f>
        <v>0</v>
      </c>
      <c r="J22" s="105">
        <f t="shared" si="1"/>
        <v>0</v>
      </c>
    </row>
    <row r="23" spans="1:10" ht="12" customHeight="1">
      <c r="A23" s="99"/>
      <c r="B23" s="681" t="s">
        <v>233</v>
      </c>
      <c r="C23" s="682"/>
      <c r="D23" s="683"/>
      <c r="E23" s="105">
        <f>SUM(SCRI!D47:D49)</f>
        <v>776105</v>
      </c>
      <c r="F23" s="105">
        <f>SUM(SCRI!F47:F49)</f>
        <v>-194845.29</v>
      </c>
      <c r="G23" s="105">
        <f>+E23+F23</f>
        <v>581259.71</v>
      </c>
      <c r="H23" s="105">
        <f>-SUM(SCRI!G47:G49,SCRI!H47:H49)</f>
        <v>575080.03</v>
      </c>
      <c r="I23" s="105">
        <f>-SUM(SCRI!H47:H49)</f>
        <v>575080.03</v>
      </c>
      <c r="J23" s="105">
        <f t="shared" si="1"/>
        <v>-201024.96999999997</v>
      </c>
    </row>
    <row r="24" spans="1:10" ht="12" customHeight="1">
      <c r="A24" s="99"/>
      <c r="B24" s="681" t="s">
        <v>116</v>
      </c>
      <c r="C24" s="682"/>
      <c r="D24" s="683"/>
      <c r="E24" s="105">
        <f>SUM(SCRI!D51:D61,SCRI!D63:D67,SCRI!D78:D85)</f>
        <v>6423385478</v>
      </c>
      <c r="F24" s="105">
        <f>SUM(SCRI!F51:F61,SCRI!F63:F67,SCRI!F78:F85)</f>
        <v>7369677.8</v>
      </c>
      <c r="G24" s="105">
        <f>+E24+F24</f>
        <v>6430755155.8</v>
      </c>
      <c r="H24" s="105">
        <f>-SUM(SCRI!G51:G61,SCRI!G63:G67,SCRI!G78:G85,SCRI!H51:H61,SCRI!H63:H67,SCRI!H78:H85)</f>
        <v>3318930859.84</v>
      </c>
      <c r="I24" s="105">
        <f>-SUM(SCRI!H51:H61,SCRI!H63:H67,SCRI!H78:H85)</f>
        <v>212034504.27</v>
      </c>
      <c r="J24" s="105">
        <f t="shared" si="1"/>
        <v>-6211350973.73</v>
      </c>
    </row>
    <row r="25" spans="1:10" ht="12" customHeight="1">
      <c r="A25" s="107"/>
      <c r="B25" s="681" t="s">
        <v>234</v>
      </c>
      <c r="C25" s="682"/>
      <c r="D25" s="683"/>
      <c r="E25" s="105">
        <f>SUM(SCRI!D68,SCRI!D70,SCRI!D72:D74,SCRI!D87:D90,SCRI!D92:D93,SCRI!D95:D101)</f>
        <v>577072515</v>
      </c>
      <c r="F25" s="105">
        <f>SUM(SCRI!F68,SCRI!F70,SCRI!F72:F74,SCRI!F87:F90,SCRI!F92:F93,SCRI!F95:F101)</f>
        <v>129944498.58</v>
      </c>
      <c r="G25" s="105">
        <f>+E25+F25</f>
        <v>707017013.58</v>
      </c>
      <c r="H25" s="105">
        <f>-SUM(SCRI!G68,SCRI!G70,SCRI!G72:G74,SCRI!G87:G90,SCRI!G92:G93,SCRI!G95:G101,SCRI!H68,SCRI!H70,SCRI!H72:H74,SCRI!H87:H90,SCRI!H92:H93,SCRI!H95:H101)</f>
        <v>545764126.2</v>
      </c>
      <c r="I25" s="105">
        <f>-SUM(SCRI!H68,SCRI!H70,SCRI!H72:H74,SCRI!H87:H90,SCRI!H92:H93,SCRI!H95:H101)</f>
        <v>545763737.49</v>
      </c>
      <c r="J25" s="105">
        <f t="shared" si="1"/>
        <v>-31308777.50999999</v>
      </c>
    </row>
    <row r="26" spans="1:10" ht="12" customHeight="1">
      <c r="A26" s="99"/>
      <c r="B26" s="681" t="s">
        <v>235</v>
      </c>
      <c r="C26" s="682"/>
      <c r="D26" s="683"/>
      <c r="E26" s="105">
        <f>SUM(SCRI!D104:D105)</f>
        <v>0</v>
      </c>
      <c r="F26" s="105">
        <f>SUM(SCRI!F104:F105)</f>
        <v>0</v>
      </c>
      <c r="G26" s="105">
        <f>+E26-F26</f>
        <v>0</v>
      </c>
      <c r="H26" s="105">
        <f>-SUM(SCRI!G104:G105,SCRI!H104:H105)</f>
        <v>0</v>
      </c>
      <c r="I26" s="105">
        <f>-SUM(SCRI!H104:H105)</f>
        <v>0</v>
      </c>
      <c r="J26" s="105">
        <f t="shared" si="1"/>
        <v>0</v>
      </c>
    </row>
    <row r="27" spans="1:10" ht="12" customHeight="1">
      <c r="A27" s="99"/>
      <c r="B27" s="108"/>
      <c r="C27" s="109"/>
      <c r="D27" s="110"/>
      <c r="E27" s="111"/>
      <c r="F27" s="112"/>
      <c r="G27" s="112"/>
      <c r="H27" s="112"/>
      <c r="I27" s="112"/>
      <c r="J27" s="112"/>
    </row>
    <row r="28" spans="1:10" ht="12" customHeight="1">
      <c r="A28" s="96"/>
      <c r="B28" s="113"/>
      <c r="C28" s="114"/>
      <c r="D28" s="115" t="s">
        <v>236</v>
      </c>
      <c r="E28" s="116">
        <f aca="true" t="shared" si="2" ref="E28:J28">SUM(E13:E26)-E18-E19-E21-E22</f>
        <v>7002457993</v>
      </c>
      <c r="F28" s="116">
        <f t="shared" si="2"/>
        <v>137534261.34</v>
      </c>
      <c r="G28" s="116">
        <f t="shared" si="2"/>
        <v>7139992254.34</v>
      </c>
      <c r="H28" s="116">
        <f t="shared" si="2"/>
        <v>3866855642.1</v>
      </c>
      <c r="I28" s="116">
        <f t="shared" si="2"/>
        <v>759958897.82</v>
      </c>
      <c r="J28" s="687">
        <f t="shared" si="2"/>
        <v>-6242499095.179999</v>
      </c>
    </row>
    <row r="29" spans="1:10" ht="12" customHeight="1">
      <c r="A29" s="99"/>
      <c r="B29" s="117"/>
      <c r="C29" s="117"/>
      <c r="D29" s="117"/>
      <c r="E29" s="117"/>
      <c r="F29" s="117"/>
      <c r="G29" s="117"/>
      <c r="H29" s="689" t="s">
        <v>237</v>
      </c>
      <c r="I29" s="690"/>
      <c r="J29" s="688"/>
    </row>
    <row r="30" spans="1:10" ht="12" customHeight="1">
      <c r="A30" s="96"/>
      <c r="B30" s="96"/>
      <c r="C30" s="96"/>
      <c r="D30" s="96"/>
      <c r="E30" s="97"/>
      <c r="F30" s="97"/>
      <c r="G30" s="97"/>
      <c r="H30" s="97"/>
      <c r="I30" s="97"/>
      <c r="J30" s="97"/>
    </row>
    <row r="31" spans="1:10" ht="12" customHeight="1">
      <c r="A31" s="96"/>
      <c r="B31" s="686" t="s">
        <v>238</v>
      </c>
      <c r="C31" s="686"/>
      <c r="D31" s="686"/>
      <c r="E31" s="685" t="s">
        <v>216</v>
      </c>
      <c r="F31" s="685"/>
      <c r="G31" s="685"/>
      <c r="H31" s="685"/>
      <c r="I31" s="685"/>
      <c r="J31" s="686" t="s">
        <v>217</v>
      </c>
    </row>
    <row r="32" spans="1:10" ht="24">
      <c r="A32" s="96"/>
      <c r="B32" s="686"/>
      <c r="C32" s="686"/>
      <c r="D32" s="686"/>
      <c r="E32" s="351" t="s">
        <v>218</v>
      </c>
      <c r="F32" s="196" t="s">
        <v>219</v>
      </c>
      <c r="G32" s="351" t="s">
        <v>220</v>
      </c>
      <c r="H32" s="351" t="s">
        <v>221</v>
      </c>
      <c r="I32" s="351" t="s">
        <v>222</v>
      </c>
      <c r="J32" s="686"/>
    </row>
    <row r="33" spans="1:10" ht="12" customHeight="1">
      <c r="A33" s="96"/>
      <c r="B33" s="686"/>
      <c r="C33" s="686"/>
      <c r="D33" s="686"/>
      <c r="E33" s="351" t="s">
        <v>223</v>
      </c>
      <c r="F33" s="351" t="s">
        <v>224</v>
      </c>
      <c r="G33" s="351" t="s">
        <v>225</v>
      </c>
      <c r="H33" s="351" t="s">
        <v>226</v>
      </c>
      <c r="I33" s="351" t="s">
        <v>227</v>
      </c>
      <c r="J33" s="351" t="s">
        <v>228</v>
      </c>
    </row>
    <row r="34" spans="1:10" ht="12" customHeight="1">
      <c r="A34" s="99"/>
      <c r="B34" s="100"/>
      <c r="C34" s="101"/>
      <c r="D34" s="102"/>
      <c r="E34" s="104"/>
      <c r="F34" s="104"/>
      <c r="G34" s="104"/>
      <c r="H34" s="104"/>
      <c r="I34" s="104"/>
      <c r="J34" s="104"/>
    </row>
    <row r="35" spans="1:10" ht="12" customHeight="1">
      <c r="A35" s="99"/>
      <c r="B35" s="118" t="s">
        <v>239</v>
      </c>
      <c r="C35" s="119"/>
      <c r="D35" s="30"/>
      <c r="E35" s="116">
        <f aca="true" t="shared" si="3" ref="E35:J35">+E36+E37+E38+E39+E42+E45+E46</f>
        <v>7001681888</v>
      </c>
      <c r="F35" s="116">
        <f t="shared" si="3"/>
        <v>137729106.63</v>
      </c>
      <c r="G35" s="116">
        <f t="shared" si="3"/>
        <v>7139410994.63</v>
      </c>
      <c r="H35" s="116">
        <f t="shared" si="3"/>
        <v>3866280172.8700004</v>
      </c>
      <c r="I35" s="116">
        <f t="shared" si="3"/>
        <v>759383817.79</v>
      </c>
      <c r="J35" s="116">
        <f t="shared" si="3"/>
        <v>-6242298070.21</v>
      </c>
    </row>
    <row r="36" spans="1:10" ht="12" customHeight="1">
      <c r="A36" s="99"/>
      <c r="B36" s="106"/>
      <c r="C36" s="682" t="s">
        <v>98</v>
      </c>
      <c r="D36" s="683"/>
      <c r="E36" s="381">
        <f>E13</f>
        <v>0</v>
      </c>
      <c r="F36" s="381">
        <f>F13</f>
        <v>0</v>
      </c>
      <c r="G36" s="381">
        <f aca="true" t="shared" si="4" ref="G36:G50">+E36+F36</f>
        <v>0</v>
      </c>
      <c r="H36" s="381">
        <f>H13</f>
        <v>0</v>
      </c>
      <c r="I36" s="381">
        <f>I13</f>
        <v>0</v>
      </c>
      <c r="J36" s="381">
        <f>+I36-E36</f>
        <v>0</v>
      </c>
    </row>
    <row r="37" spans="1:10" ht="12" customHeight="1">
      <c r="A37" s="99"/>
      <c r="B37" s="106"/>
      <c r="C37" s="682" t="s">
        <v>102</v>
      </c>
      <c r="D37" s="683"/>
      <c r="E37" s="381">
        <f>E15</f>
        <v>0</v>
      </c>
      <c r="F37" s="381">
        <f>F15</f>
        <v>0</v>
      </c>
      <c r="G37" s="381">
        <f t="shared" si="4"/>
        <v>0</v>
      </c>
      <c r="H37" s="381">
        <f>H15</f>
        <v>0</v>
      </c>
      <c r="I37" s="381">
        <f>I15</f>
        <v>0</v>
      </c>
      <c r="J37" s="381">
        <f aca="true" t="shared" si="5" ref="J37:J54">+I37-E37</f>
        <v>0</v>
      </c>
    </row>
    <row r="38" spans="1:10" ht="12" customHeight="1">
      <c r="A38" s="99"/>
      <c r="B38" s="106"/>
      <c r="C38" s="682" t="s">
        <v>104</v>
      </c>
      <c r="D38" s="683"/>
      <c r="E38" s="381">
        <f>E16</f>
        <v>0</v>
      </c>
      <c r="F38" s="381">
        <f>F16</f>
        <v>0</v>
      </c>
      <c r="G38" s="381">
        <f t="shared" si="4"/>
        <v>0</v>
      </c>
      <c r="H38" s="381">
        <f>H16</f>
        <v>0</v>
      </c>
      <c r="I38" s="381">
        <f>I16</f>
        <v>0</v>
      </c>
      <c r="J38" s="381">
        <f t="shared" si="5"/>
        <v>0</v>
      </c>
    </row>
    <row r="39" spans="1:10" ht="12" customHeight="1">
      <c r="A39" s="99"/>
      <c r="B39" s="106"/>
      <c r="C39" s="682" t="s">
        <v>229</v>
      </c>
      <c r="D39" s="683"/>
      <c r="E39" s="381">
        <f>+E40+E41</f>
        <v>1223895</v>
      </c>
      <c r="F39" s="381">
        <f>+F40+F41</f>
        <v>414930.25</v>
      </c>
      <c r="G39" s="381">
        <f t="shared" si="4"/>
        <v>1638825.25</v>
      </c>
      <c r="H39" s="381">
        <f>+H40+H41</f>
        <v>1585576.03</v>
      </c>
      <c r="I39" s="381">
        <f>+I40+I41</f>
        <v>1585576.03</v>
      </c>
      <c r="J39" s="381">
        <f t="shared" si="5"/>
        <v>361681.03</v>
      </c>
    </row>
    <row r="40" spans="1:10" ht="12" customHeight="1">
      <c r="A40" s="99"/>
      <c r="B40" s="106"/>
      <c r="C40" s="20"/>
      <c r="D40" s="120" t="s">
        <v>230</v>
      </c>
      <c r="E40" s="381">
        <f>E18</f>
        <v>1223895</v>
      </c>
      <c r="F40" s="381">
        <f>F18</f>
        <v>414930.25</v>
      </c>
      <c r="G40" s="381">
        <f t="shared" si="4"/>
        <v>1638825.25</v>
      </c>
      <c r="H40" s="381">
        <f>H18</f>
        <v>1585576.03</v>
      </c>
      <c r="I40" s="381">
        <f>I18</f>
        <v>1585576.03</v>
      </c>
      <c r="J40" s="381">
        <f t="shared" si="5"/>
        <v>361681.03</v>
      </c>
    </row>
    <row r="41" spans="1:10" ht="12" customHeight="1">
      <c r="A41" s="99"/>
      <c r="B41" s="106"/>
      <c r="C41" s="20"/>
      <c r="D41" s="120" t="s">
        <v>231</v>
      </c>
      <c r="E41" s="381">
        <f>E19</f>
        <v>0</v>
      </c>
      <c r="F41" s="381">
        <f>F19</f>
        <v>0</v>
      </c>
      <c r="G41" s="381">
        <f t="shared" si="4"/>
        <v>0</v>
      </c>
      <c r="H41" s="381">
        <f>H19</f>
        <v>0</v>
      </c>
      <c r="I41" s="381">
        <f>I19</f>
        <v>0</v>
      </c>
      <c r="J41" s="381">
        <f t="shared" si="5"/>
        <v>0</v>
      </c>
    </row>
    <row r="42" spans="1:10" ht="12" customHeight="1">
      <c r="A42" s="99"/>
      <c r="B42" s="106"/>
      <c r="C42" s="682" t="s">
        <v>232</v>
      </c>
      <c r="D42" s="683"/>
      <c r="E42" s="381">
        <f>+E43+E44</f>
        <v>0</v>
      </c>
      <c r="F42" s="381">
        <f>+F43+F44</f>
        <v>0</v>
      </c>
      <c r="G42" s="381">
        <f t="shared" si="4"/>
        <v>0</v>
      </c>
      <c r="H42" s="381">
        <f>+H43+H44</f>
        <v>0</v>
      </c>
      <c r="I42" s="381">
        <f>+I43+I44</f>
        <v>0</v>
      </c>
      <c r="J42" s="381">
        <f t="shared" si="5"/>
        <v>0</v>
      </c>
    </row>
    <row r="43" spans="1:10" ht="12" customHeight="1">
      <c r="A43" s="99"/>
      <c r="B43" s="106"/>
      <c r="C43" s="20"/>
      <c r="D43" s="120" t="s">
        <v>230</v>
      </c>
      <c r="E43" s="381">
        <f>E21</f>
        <v>0</v>
      </c>
      <c r="F43" s="381">
        <f>F21</f>
        <v>0</v>
      </c>
      <c r="G43" s="381">
        <f t="shared" si="4"/>
        <v>0</v>
      </c>
      <c r="H43" s="381">
        <f>H21</f>
        <v>0</v>
      </c>
      <c r="I43" s="381">
        <f>I21</f>
        <v>0</v>
      </c>
      <c r="J43" s="381">
        <f t="shared" si="5"/>
        <v>0</v>
      </c>
    </row>
    <row r="44" spans="1:10" ht="12" customHeight="1">
      <c r="A44" s="99"/>
      <c r="B44" s="106"/>
      <c r="C44" s="20"/>
      <c r="D44" s="120" t="s">
        <v>231</v>
      </c>
      <c r="E44" s="381">
        <f>E22</f>
        <v>0</v>
      </c>
      <c r="F44" s="381">
        <f>F22</f>
        <v>0</v>
      </c>
      <c r="G44" s="381">
        <f t="shared" si="4"/>
        <v>0</v>
      </c>
      <c r="H44" s="381">
        <f>H22</f>
        <v>0</v>
      </c>
      <c r="I44" s="381">
        <f>I22</f>
        <v>0</v>
      </c>
      <c r="J44" s="381">
        <f t="shared" si="5"/>
        <v>0</v>
      </c>
    </row>
    <row r="45" spans="1:10" ht="12" customHeight="1">
      <c r="A45" s="99"/>
      <c r="B45" s="106"/>
      <c r="C45" s="682" t="s">
        <v>116</v>
      </c>
      <c r="D45" s="683"/>
      <c r="E45" s="381">
        <f>E24</f>
        <v>6423385478</v>
      </c>
      <c r="F45" s="381">
        <f>F24</f>
        <v>7369677.8</v>
      </c>
      <c r="G45" s="381">
        <f t="shared" si="4"/>
        <v>6430755155.8</v>
      </c>
      <c r="H45" s="381">
        <f>H24</f>
        <v>3318930859.84</v>
      </c>
      <c r="I45" s="381">
        <f>I24</f>
        <v>212034504.27</v>
      </c>
      <c r="J45" s="381">
        <f t="shared" si="5"/>
        <v>-6211350973.73</v>
      </c>
    </row>
    <row r="46" spans="1:10" ht="12" customHeight="1">
      <c r="A46" s="99"/>
      <c r="B46" s="106"/>
      <c r="C46" s="682" t="s">
        <v>234</v>
      </c>
      <c r="D46" s="683"/>
      <c r="E46" s="329">
        <v>577072515</v>
      </c>
      <c r="F46" s="329">
        <v>129944498.58</v>
      </c>
      <c r="G46" s="329">
        <v>707017013.58</v>
      </c>
      <c r="H46" s="329">
        <v>545763737</v>
      </c>
      <c r="I46" s="329">
        <v>545763737.49</v>
      </c>
      <c r="J46" s="381">
        <f t="shared" si="5"/>
        <v>-31308777.50999999</v>
      </c>
    </row>
    <row r="47" spans="1:10" ht="12" customHeight="1">
      <c r="A47" s="99"/>
      <c r="B47" s="106"/>
      <c r="C47" s="20"/>
      <c r="D47" s="120"/>
      <c r="E47" s="381"/>
      <c r="F47" s="381"/>
      <c r="G47" s="381">
        <f t="shared" si="4"/>
        <v>0</v>
      </c>
      <c r="H47" s="381"/>
      <c r="I47" s="381"/>
      <c r="J47" s="381"/>
    </row>
    <row r="48" spans="1:10" ht="12" customHeight="1">
      <c r="A48" s="99"/>
      <c r="B48" s="118" t="s">
        <v>240</v>
      </c>
      <c r="C48" s="119"/>
      <c r="D48" s="120"/>
      <c r="E48" s="116">
        <f>+E49+E50+E51</f>
        <v>776105</v>
      </c>
      <c r="F48" s="116">
        <f>+F49+F50+F51</f>
        <v>-194845.29</v>
      </c>
      <c r="G48" s="381">
        <f t="shared" si="4"/>
        <v>581259.71</v>
      </c>
      <c r="H48" s="116">
        <f>+H49+H50+H51</f>
        <v>575080.03</v>
      </c>
      <c r="I48" s="116">
        <f>+I49+I50+I51</f>
        <v>575080.03</v>
      </c>
      <c r="J48" s="116">
        <f t="shared" si="5"/>
        <v>-201024.96999999997</v>
      </c>
    </row>
    <row r="49" spans="1:10" ht="12" customHeight="1">
      <c r="A49" s="99"/>
      <c r="B49" s="118"/>
      <c r="C49" s="682" t="s">
        <v>212</v>
      </c>
      <c r="D49" s="683"/>
      <c r="E49" s="381">
        <f>E14</f>
        <v>0</v>
      </c>
      <c r="F49" s="381">
        <f>F14</f>
        <v>0</v>
      </c>
      <c r="G49" s="381">
        <f t="shared" si="4"/>
        <v>0</v>
      </c>
      <c r="H49" s="381">
        <f>H14</f>
        <v>0</v>
      </c>
      <c r="I49" s="381">
        <f>I14</f>
        <v>0</v>
      </c>
      <c r="J49" s="381">
        <f t="shared" si="5"/>
        <v>0</v>
      </c>
    </row>
    <row r="50" spans="1:10" ht="12" customHeight="1">
      <c r="A50" s="99"/>
      <c r="B50" s="106"/>
      <c r="C50" s="682" t="s">
        <v>233</v>
      </c>
      <c r="D50" s="683"/>
      <c r="E50" s="381">
        <f>E23</f>
        <v>776105</v>
      </c>
      <c r="F50" s="381">
        <f>F23</f>
        <v>-194845.29</v>
      </c>
      <c r="G50" s="381">
        <f t="shared" si="4"/>
        <v>581259.71</v>
      </c>
      <c r="H50" s="381">
        <f>H23</f>
        <v>575080.03</v>
      </c>
      <c r="I50" s="381">
        <f>I23</f>
        <v>575080.03</v>
      </c>
      <c r="J50" s="381">
        <f t="shared" si="5"/>
        <v>-201024.96999999997</v>
      </c>
    </row>
    <row r="51" spans="1:10" ht="12" customHeight="1">
      <c r="A51" s="99"/>
      <c r="B51" s="106"/>
      <c r="C51" s="682" t="s">
        <v>234</v>
      </c>
      <c r="D51" s="683"/>
      <c r="E51" s="329"/>
      <c r="F51" s="329"/>
      <c r="G51" s="329"/>
      <c r="H51" s="329"/>
      <c r="I51" s="329"/>
      <c r="J51" s="381">
        <f t="shared" si="5"/>
        <v>0</v>
      </c>
    </row>
    <row r="52" spans="1:11" s="1" customFormat="1" ht="12" customHeight="1">
      <c r="A52" s="96"/>
      <c r="B52" s="121"/>
      <c r="C52" s="122"/>
      <c r="D52" s="123"/>
      <c r="E52" s="381"/>
      <c r="F52" s="381"/>
      <c r="G52" s="381"/>
      <c r="H52" s="381"/>
      <c r="I52" s="381"/>
      <c r="J52" s="381"/>
      <c r="K52" s="124"/>
    </row>
    <row r="53" spans="1:10" ht="12" customHeight="1">
      <c r="A53" s="99"/>
      <c r="B53" s="118" t="s">
        <v>241</v>
      </c>
      <c r="C53" s="125"/>
      <c r="D53" s="120"/>
      <c r="E53" s="116">
        <f>+E54</f>
        <v>0</v>
      </c>
      <c r="F53" s="116">
        <f>+F54</f>
        <v>0</v>
      </c>
      <c r="G53" s="116">
        <f>+G54</f>
        <v>0</v>
      </c>
      <c r="H53" s="116">
        <f>+H54</f>
        <v>0</v>
      </c>
      <c r="I53" s="116">
        <f>+I54</f>
        <v>0</v>
      </c>
      <c r="J53" s="116">
        <f t="shared" si="5"/>
        <v>0</v>
      </c>
    </row>
    <row r="54" spans="1:10" ht="12" customHeight="1">
      <c r="A54" s="99"/>
      <c r="B54" s="106"/>
      <c r="C54" s="682" t="s">
        <v>235</v>
      </c>
      <c r="D54" s="683"/>
      <c r="E54" s="381">
        <f>E26</f>
        <v>0</v>
      </c>
      <c r="F54" s="381">
        <f>F26</f>
        <v>0</v>
      </c>
      <c r="G54" s="381">
        <f>+E54+F54</f>
        <v>0</v>
      </c>
      <c r="H54" s="381">
        <f>H26</f>
        <v>0</v>
      </c>
      <c r="I54" s="381">
        <f>I26</f>
        <v>0</v>
      </c>
      <c r="J54" s="381">
        <f t="shared" si="5"/>
        <v>0</v>
      </c>
    </row>
    <row r="55" spans="1:10" ht="12" customHeight="1">
      <c r="A55" s="99"/>
      <c r="B55" s="108"/>
      <c r="C55" s="109"/>
      <c r="D55" s="110"/>
      <c r="E55" s="112"/>
      <c r="F55" s="112"/>
      <c r="G55" s="112"/>
      <c r="H55" s="112"/>
      <c r="I55" s="112"/>
      <c r="J55" s="112"/>
    </row>
    <row r="56" spans="1:10" ht="12" customHeight="1">
      <c r="A56" s="96"/>
      <c r="B56" s="113"/>
      <c r="C56" s="114"/>
      <c r="D56" s="126" t="s">
        <v>236</v>
      </c>
      <c r="E56" s="116">
        <f>+E36+E37+E38+E39+E42+E45+E46+E48+E53</f>
        <v>7002457993</v>
      </c>
      <c r="F56" s="116">
        <f>+F36+F37+F38+F39+F42+F45+F46+F48+F53</f>
        <v>137534261.34</v>
      </c>
      <c r="G56" s="116">
        <f>+G36+G37+G38+G39+G42+G45+G46+G48+G53</f>
        <v>7139992254.34</v>
      </c>
      <c r="H56" s="116">
        <f>+H36+H37+H38+H39+H42+H45+H46+H48+H53</f>
        <v>3866855252.9000006</v>
      </c>
      <c r="I56" s="116">
        <f>+I36+I37+I38+I39+I42+I45+I46+I48+I53</f>
        <v>759958897.8199999</v>
      </c>
      <c r="J56" s="687">
        <f>+J35+J48+J53</f>
        <v>-6242499095.18</v>
      </c>
    </row>
    <row r="57" spans="1:10" ht="12">
      <c r="A57" s="99"/>
      <c r="B57" s="117"/>
      <c r="C57" s="117"/>
      <c r="D57" s="117"/>
      <c r="E57" s="117"/>
      <c r="F57" s="117"/>
      <c r="G57" s="117"/>
      <c r="H57" s="689" t="s">
        <v>762</v>
      </c>
      <c r="I57" s="690"/>
      <c r="J57" s="688"/>
    </row>
    <row r="58" spans="2:10" ht="12" customHeight="1">
      <c r="B58" s="693" t="s">
        <v>149</v>
      </c>
      <c r="C58" s="693"/>
      <c r="D58" s="693"/>
      <c r="E58" s="693"/>
      <c r="F58" s="693"/>
      <c r="G58" s="693"/>
      <c r="H58" s="693"/>
      <c r="I58" s="21"/>
      <c r="J58" s="21"/>
    </row>
    <row r="59" spans="2:10" ht="12">
      <c r="B59" s="21"/>
      <c r="C59" s="21"/>
      <c r="D59" s="21"/>
      <c r="E59" s="21"/>
      <c r="F59" s="21"/>
      <c r="G59" s="21"/>
      <c r="H59" s="21"/>
      <c r="I59" s="21"/>
      <c r="J59" s="21"/>
    </row>
    <row r="60" spans="2:10" ht="12">
      <c r="B60" s="21"/>
      <c r="C60" s="21"/>
      <c r="D60" s="21"/>
      <c r="E60" s="21"/>
      <c r="F60" s="21"/>
      <c r="G60" s="21"/>
      <c r="H60" s="21"/>
      <c r="I60" s="21"/>
      <c r="J60" s="21"/>
    </row>
    <row r="61" spans="3:10" ht="12">
      <c r="C61" s="1"/>
      <c r="D61" s="1"/>
      <c r="E61" s="1"/>
      <c r="F61" s="1"/>
      <c r="G61" s="1"/>
      <c r="H61" s="1"/>
      <c r="I61" s="1"/>
      <c r="J61" s="1"/>
    </row>
    <row r="62" spans="3:10" ht="12">
      <c r="C62" s="1"/>
      <c r="D62" s="1"/>
      <c r="E62" s="1"/>
      <c r="F62" s="1"/>
      <c r="G62" s="1"/>
      <c r="H62" s="1"/>
      <c r="I62" s="1"/>
      <c r="J62" s="1"/>
    </row>
    <row r="63" spans="3:10" ht="12">
      <c r="C63" s="1"/>
      <c r="D63" s="307"/>
      <c r="E63" s="1"/>
      <c r="F63" s="1"/>
      <c r="G63" s="307"/>
      <c r="H63" s="307"/>
      <c r="I63" s="307"/>
      <c r="J63" s="1"/>
    </row>
    <row r="64" spans="3:10" ht="12">
      <c r="C64" s="1"/>
      <c r="D64" s="308" t="str">
        <f>+ENTE!D10</f>
        <v>ING. ENRIQUE DE ECHAVARRI LARY</v>
      </c>
      <c r="E64" s="1"/>
      <c r="F64" s="1"/>
      <c r="G64" s="691" t="str">
        <f>+ENTE!D14</f>
        <v>LIC. RICARDO SALVADOR BACA MUÑOZ</v>
      </c>
      <c r="H64" s="691"/>
      <c r="I64" s="691"/>
      <c r="J64" s="1"/>
    </row>
    <row r="65" spans="3:10" ht="12">
      <c r="C65" s="1"/>
      <c r="D65" s="309" t="str">
        <f>+ENTE!D12</f>
        <v>COORDINADOR GENERAL </v>
      </c>
      <c r="E65" s="1"/>
      <c r="F65" s="1"/>
      <c r="G65" s="692" t="str">
        <f>+ENTE!D16</f>
        <v>DIRECTOR DE ADMINISTRACION</v>
      </c>
      <c r="H65" s="692"/>
      <c r="I65" s="692"/>
      <c r="J65" s="1"/>
    </row>
  </sheetData>
  <sheetProtection sheet="1" objects="1" scenarios="1" selectLockedCells="1"/>
  <mergeCells count="45">
    <mergeCell ref="J56:J57"/>
    <mergeCell ref="H57:I57"/>
    <mergeCell ref="G64:I64"/>
    <mergeCell ref="G65:I65"/>
    <mergeCell ref="C50:D50"/>
    <mergeCell ref="C51:D51"/>
    <mergeCell ref="C54:D54"/>
    <mergeCell ref="B58:H58"/>
    <mergeCell ref="C39:D39"/>
    <mergeCell ref="C42:D42"/>
    <mergeCell ref="J28:J29"/>
    <mergeCell ref="H29:I29"/>
    <mergeCell ref="B31:D33"/>
    <mergeCell ref="E31:I31"/>
    <mergeCell ref="J31:J32"/>
    <mergeCell ref="C46:D46"/>
    <mergeCell ref="C49:D49"/>
    <mergeCell ref="B25:D25"/>
    <mergeCell ref="B14:D14"/>
    <mergeCell ref="B15:D15"/>
    <mergeCell ref="B16:D16"/>
    <mergeCell ref="B17:D17"/>
    <mergeCell ref="C18:D18"/>
    <mergeCell ref="C19:D19"/>
    <mergeCell ref="B20:D20"/>
    <mergeCell ref="J9:J10"/>
    <mergeCell ref="C21:D21"/>
    <mergeCell ref="C22:D22"/>
    <mergeCell ref="B23:D23"/>
    <mergeCell ref="B24:D24"/>
    <mergeCell ref="C45:D45"/>
    <mergeCell ref="B26:D26"/>
    <mergeCell ref="C36:D36"/>
    <mergeCell ref="C37:D37"/>
    <mergeCell ref="C38:D38"/>
    <mergeCell ref="B5:J5"/>
    <mergeCell ref="B13:D13"/>
    <mergeCell ref="B2:J2"/>
    <mergeCell ref="B3:J3"/>
    <mergeCell ref="B4:J4"/>
    <mergeCell ref="B6:J6"/>
    <mergeCell ref="B7:C7"/>
    <mergeCell ref="D7:J7"/>
    <mergeCell ref="B9:D11"/>
    <mergeCell ref="E9:I9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4" r:id="rId1"/>
  <headerFooter>
    <oddFooter>&amp;C&amp;A&amp;RPágina &amp;P</oddFooter>
  </headerFooter>
  <ignoredErrors>
    <ignoredError sqref="E39:E42 F39:F42 H39:H42 I39:I42 G51:G5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view="pageBreakPreview" zoomScaleNormal="80" zoomScaleSheetLayoutView="100" zoomScalePageLayoutView="0" workbookViewId="0" topLeftCell="A1">
      <selection activeCell="D78" sqref="D78"/>
    </sheetView>
  </sheetViews>
  <sheetFormatPr defaultColWidth="11.421875" defaultRowHeight="15"/>
  <cols>
    <col min="1" max="1" width="3.140625" style="200" customWidth="1"/>
    <col min="2" max="2" width="30.140625" style="202" customWidth="1"/>
    <col min="3" max="3" width="21.8515625" style="202" customWidth="1"/>
    <col min="4" max="4" width="14.8515625" style="327" customWidth="1"/>
    <col min="5" max="5" width="16.8515625" style="327" customWidth="1"/>
    <col min="6" max="6" width="15.00390625" style="327" customWidth="1"/>
    <col min="7" max="7" width="16.57421875" style="327" customWidth="1"/>
    <col min="8" max="8" width="16.8515625" style="327" customWidth="1"/>
    <col min="9" max="9" width="14.00390625" style="327" customWidth="1"/>
    <col min="10" max="10" width="4.421875" style="200" customWidth="1"/>
    <col min="11" max="16384" width="11.421875" style="202" customWidth="1"/>
  </cols>
  <sheetData>
    <row r="1" spans="2:9" ht="12">
      <c r="B1" s="200"/>
      <c r="C1" s="200"/>
      <c r="D1" s="324"/>
      <c r="E1" s="324"/>
      <c r="F1" s="324"/>
      <c r="G1" s="324"/>
      <c r="H1" s="324"/>
      <c r="I1" s="324"/>
    </row>
    <row r="2" spans="1:10" s="268" customFormat="1" ht="12">
      <c r="A2" s="201"/>
      <c r="B2" s="677"/>
      <c r="C2" s="677"/>
      <c r="D2" s="677"/>
      <c r="E2" s="677"/>
      <c r="F2" s="677"/>
      <c r="G2" s="677"/>
      <c r="H2" s="677"/>
      <c r="I2" s="677"/>
      <c r="J2" s="201"/>
    </row>
    <row r="3" spans="1:10" s="268" customFormat="1" ht="12">
      <c r="A3" s="201"/>
      <c r="B3" s="696" t="s">
        <v>628</v>
      </c>
      <c r="C3" s="696"/>
      <c r="D3" s="696"/>
      <c r="E3" s="696"/>
      <c r="F3" s="696"/>
      <c r="G3" s="696"/>
      <c r="H3" s="696"/>
      <c r="I3" s="696"/>
      <c r="J3" s="201"/>
    </row>
    <row r="4" spans="1:10" s="268" customFormat="1" ht="12">
      <c r="A4" s="201"/>
      <c r="B4" s="696" t="str">
        <f>"Del 1 de enero al "&amp;TEXT(INDEX(Periodos,ENTE!D18,1),"dd")&amp;" de "&amp;TEXT(INDEX(Periodos,ENTE!D18,1),"mmmm")&amp;" de "&amp;TEXT(INDEX(Periodos,ENTE!D18,1),"aaaa")&amp;""</f>
        <v>Del 1 de enero al 30 de septiembre de 2017</v>
      </c>
      <c r="C4" s="696"/>
      <c r="D4" s="696"/>
      <c r="E4" s="696"/>
      <c r="F4" s="696"/>
      <c r="G4" s="696"/>
      <c r="H4" s="696"/>
      <c r="I4" s="696"/>
      <c r="J4" s="201"/>
    </row>
    <row r="5" spans="1:10" s="268" customFormat="1" ht="12">
      <c r="A5" s="201"/>
      <c r="B5" s="696" t="s">
        <v>92</v>
      </c>
      <c r="C5" s="696"/>
      <c r="D5" s="696"/>
      <c r="E5" s="696"/>
      <c r="F5" s="696"/>
      <c r="G5" s="696"/>
      <c r="H5" s="696"/>
      <c r="I5" s="696"/>
      <c r="J5" s="201"/>
    </row>
    <row r="6" spans="1:10" s="268" customFormat="1" ht="12">
      <c r="A6" s="201"/>
      <c r="B6" s="241"/>
      <c r="C6" s="241"/>
      <c r="D6" s="294"/>
      <c r="E6" s="294"/>
      <c r="F6" s="294"/>
      <c r="G6" s="294"/>
      <c r="H6" s="294"/>
      <c r="I6" s="294"/>
      <c r="J6" s="201"/>
    </row>
    <row r="7" spans="1:10" s="268" customFormat="1" ht="12">
      <c r="A7" s="201"/>
      <c r="B7" s="198" t="s">
        <v>4</v>
      </c>
      <c r="C7" s="709" t="str">
        <f>+ENTE!D8</f>
        <v>UNIDAD DE SERVICIOS PARA LA EDUCACION BASICA EN EL ESTADO DE QUERETARO</v>
      </c>
      <c r="D7" s="709"/>
      <c r="E7" s="709"/>
      <c r="F7" s="709"/>
      <c r="G7" s="709"/>
      <c r="H7" s="273"/>
      <c r="I7" s="273"/>
      <c r="J7" s="201"/>
    </row>
    <row r="8" spans="1:10" s="268" customFormat="1" ht="12">
      <c r="A8" s="201"/>
      <c r="B8" s="235"/>
      <c r="C8" s="235"/>
      <c r="D8" s="304"/>
      <c r="E8" s="304"/>
      <c r="F8" s="304"/>
      <c r="G8" s="304"/>
      <c r="H8" s="304"/>
      <c r="I8" s="304"/>
      <c r="J8" s="201"/>
    </row>
    <row r="9" spans="1:10" s="268" customFormat="1" ht="12">
      <c r="A9" s="201"/>
      <c r="B9" s="705" t="s">
        <v>392</v>
      </c>
      <c r="C9" s="706"/>
      <c r="D9" s="702" t="s">
        <v>432</v>
      </c>
      <c r="E9" s="703"/>
      <c r="F9" s="703"/>
      <c r="G9" s="703"/>
      <c r="H9" s="703"/>
      <c r="I9" s="704"/>
      <c r="J9" s="201"/>
    </row>
    <row r="10" spans="2:9" ht="29.25" customHeight="1">
      <c r="B10" s="707"/>
      <c r="C10" s="708"/>
      <c r="D10" s="296" t="s">
        <v>433</v>
      </c>
      <c r="E10" s="296" t="s">
        <v>637</v>
      </c>
      <c r="F10" s="298" t="s">
        <v>220</v>
      </c>
      <c r="G10" s="297" t="s">
        <v>221</v>
      </c>
      <c r="H10" s="297" t="s">
        <v>222</v>
      </c>
      <c r="I10" s="297" t="s">
        <v>217</v>
      </c>
    </row>
    <row r="11" spans="2:9" ht="12">
      <c r="B11" s="216"/>
      <c r="C11" s="201"/>
      <c r="D11" s="388"/>
      <c r="E11" s="388"/>
      <c r="F11" s="389"/>
      <c r="G11" s="390"/>
      <c r="H11" s="390"/>
      <c r="I11" s="390"/>
    </row>
    <row r="12" spans="2:9" ht="12">
      <c r="B12" s="208" t="s">
        <v>434</v>
      </c>
      <c r="C12" s="264"/>
      <c r="D12" s="388"/>
      <c r="E12" s="388"/>
      <c r="F12" s="389"/>
      <c r="G12" s="390"/>
      <c r="H12" s="390"/>
      <c r="I12" s="390"/>
    </row>
    <row r="13" spans="1:10" s="207" customFormat="1" ht="12">
      <c r="A13" s="200"/>
      <c r="B13" s="208"/>
      <c r="C13" s="264"/>
      <c r="D13" s="391"/>
      <c r="E13" s="391"/>
      <c r="F13" s="392"/>
      <c r="G13" s="393"/>
      <c r="H13" s="392"/>
      <c r="I13" s="393"/>
      <c r="J13" s="200"/>
    </row>
    <row r="14" spans="2:9" ht="12">
      <c r="B14" s="204" t="s">
        <v>435</v>
      </c>
      <c r="C14" s="201"/>
      <c r="D14" s="391">
        <f>+SUM(SCRI!D13:D21)</f>
        <v>0</v>
      </c>
      <c r="E14" s="391">
        <f>+SUM(SCRI!F13:F21)</f>
        <v>0</v>
      </c>
      <c r="F14" s="392">
        <f aca="true" t="shared" si="0" ref="F14:F20">+D14+E14</f>
        <v>0</v>
      </c>
      <c r="G14" s="391">
        <f>-SUM(SCRI!G13:G21,SCRI!H13:H21)</f>
        <v>0</v>
      </c>
      <c r="H14" s="392">
        <f>-SUM(SCRI!H13:H21)</f>
        <v>0</v>
      </c>
      <c r="I14" s="393">
        <f aca="true" t="shared" si="1" ref="I14:I20">+H14-D14</f>
        <v>0</v>
      </c>
    </row>
    <row r="15" spans="2:9" ht="12">
      <c r="B15" s="204" t="s">
        <v>436</v>
      </c>
      <c r="C15" s="201"/>
      <c r="D15" s="391">
        <f>+SUM(SCRI!D23:D27)</f>
        <v>0</v>
      </c>
      <c r="E15" s="391">
        <f>+SUM(SCRI!F23:F27)</f>
        <v>0</v>
      </c>
      <c r="F15" s="392">
        <f t="shared" si="0"/>
        <v>0</v>
      </c>
      <c r="G15" s="391">
        <f>-SUM(SCRI!G23:G27,SCRI!H23:H27)</f>
        <v>0</v>
      </c>
      <c r="H15" s="392">
        <f>-SUM(SCRI!H23:H27)</f>
        <v>0</v>
      </c>
      <c r="I15" s="393">
        <f t="shared" si="1"/>
        <v>0</v>
      </c>
    </row>
    <row r="16" spans="2:9" ht="12">
      <c r="B16" s="204" t="s">
        <v>437</v>
      </c>
      <c r="C16" s="201"/>
      <c r="D16" s="391">
        <f>+SUM(SCRI!D29:D30)</f>
        <v>0</v>
      </c>
      <c r="E16" s="391">
        <f>+SUM(SCRI!F29:F30)</f>
        <v>0</v>
      </c>
      <c r="F16" s="392">
        <f t="shared" si="0"/>
        <v>0</v>
      </c>
      <c r="G16" s="391">
        <f>-SUM(SCRI!G29:G30,SCRI!H29:H30)</f>
        <v>0</v>
      </c>
      <c r="H16" s="392">
        <f>-SUM(SCRI!H29:H30)</f>
        <v>0</v>
      </c>
      <c r="I16" s="393">
        <f t="shared" si="1"/>
        <v>0</v>
      </c>
    </row>
    <row r="17" spans="2:9" ht="12">
      <c r="B17" s="204" t="s">
        <v>438</v>
      </c>
      <c r="C17" s="201"/>
      <c r="D17" s="391">
        <f>+SUM(SCRI!D32:D37)</f>
        <v>0</v>
      </c>
      <c r="E17" s="391">
        <f>+SUM(SCRI!F32:F37)</f>
        <v>0</v>
      </c>
      <c r="F17" s="392">
        <f t="shared" si="0"/>
        <v>0</v>
      </c>
      <c r="G17" s="391">
        <f>-SUM(SCRI!G32:G37,SCRI!H32:H37)</f>
        <v>0</v>
      </c>
      <c r="H17" s="392">
        <f>-SUM(SCRI!H32:H37)</f>
        <v>0</v>
      </c>
      <c r="I17" s="393">
        <f t="shared" si="1"/>
        <v>0</v>
      </c>
    </row>
    <row r="18" spans="2:9" ht="12">
      <c r="B18" s="204" t="s">
        <v>439</v>
      </c>
      <c r="C18" s="201"/>
      <c r="D18" s="391">
        <f>+SUM(SCRI!D39:D41)</f>
        <v>1223895</v>
      </c>
      <c r="E18" s="391">
        <f>+SUM(SCRI!F39:F41)</f>
        <v>414930.25</v>
      </c>
      <c r="F18" s="392">
        <f t="shared" si="0"/>
        <v>1638825.25</v>
      </c>
      <c r="G18" s="391">
        <f>-SUM(SCRI!G39:G41,SCRI!H39:H41)</f>
        <v>1585576.03</v>
      </c>
      <c r="H18" s="392">
        <f>-SUM(SCRI!H39:H41)</f>
        <v>1585576.03</v>
      </c>
      <c r="I18" s="393">
        <f t="shared" si="1"/>
        <v>361681.03</v>
      </c>
    </row>
    <row r="19" spans="2:9" ht="12">
      <c r="B19" s="204" t="s">
        <v>440</v>
      </c>
      <c r="C19" s="201"/>
      <c r="D19" s="391">
        <f>+SUM(SCRI!D43:D45)</f>
        <v>0</v>
      </c>
      <c r="E19" s="391">
        <f>+SUM(SCRI!F43:F45)</f>
        <v>0</v>
      </c>
      <c r="F19" s="392">
        <f t="shared" si="0"/>
        <v>0</v>
      </c>
      <c r="G19" s="391">
        <f>-SUM(SCRI!G43:G45,SCRI!H43:H45)</f>
        <v>0</v>
      </c>
      <c r="H19" s="392">
        <f>-SUM(SCRI!H43:H45)</f>
        <v>0</v>
      </c>
      <c r="I19" s="393">
        <f t="shared" si="1"/>
        <v>0</v>
      </c>
    </row>
    <row r="20" spans="2:9" ht="12">
      <c r="B20" s="204" t="s">
        <v>441</v>
      </c>
      <c r="C20" s="201"/>
      <c r="D20" s="391">
        <f>+SUM(SCRI!D47:D49)</f>
        <v>776105</v>
      </c>
      <c r="E20" s="391">
        <f>+SUM(SCRI!F47:F49)</f>
        <v>-194845.29</v>
      </c>
      <c r="F20" s="392">
        <f t="shared" si="0"/>
        <v>581259.71</v>
      </c>
      <c r="G20" s="391">
        <f>-SUM(SCRI!G47:G49,SCRI!H47:H49)</f>
        <v>575080.03</v>
      </c>
      <c r="H20" s="392">
        <f>-SUM(SCRI!H47:H49)</f>
        <v>575080.03</v>
      </c>
      <c r="I20" s="393">
        <f t="shared" si="1"/>
        <v>-201024.96999999997</v>
      </c>
    </row>
    <row r="21" spans="2:9" ht="12">
      <c r="B21" s="204" t="s">
        <v>760</v>
      </c>
      <c r="C21" s="201"/>
      <c r="D21" s="391">
        <f aca="true" t="shared" si="2" ref="D21:I21">SUM(D23:D33)</f>
        <v>0</v>
      </c>
      <c r="E21" s="391">
        <f t="shared" si="2"/>
        <v>0</v>
      </c>
      <c r="F21" s="392">
        <f t="shared" si="2"/>
        <v>0</v>
      </c>
      <c r="G21" s="391">
        <f t="shared" si="2"/>
        <v>0</v>
      </c>
      <c r="H21" s="392">
        <f t="shared" si="2"/>
        <v>0</v>
      </c>
      <c r="I21" s="392">
        <f t="shared" si="2"/>
        <v>0</v>
      </c>
    </row>
    <row r="22" spans="2:9" ht="12">
      <c r="B22" s="204"/>
      <c r="C22" s="201"/>
      <c r="D22" s="391"/>
      <c r="E22" s="391"/>
      <c r="F22" s="392"/>
      <c r="G22" s="391"/>
      <c r="H22" s="392"/>
      <c r="I22" s="393"/>
    </row>
    <row r="23" spans="2:9" ht="12">
      <c r="B23" s="204" t="s">
        <v>442</v>
      </c>
      <c r="C23" s="201"/>
      <c r="D23" s="391">
        <f>+SCRI!D51</f>
        <v>0</v>
      </c>
      <c r="E23" s="391">
        <f>+SCRI!F51</f>
        <v>0</v>
      </c>
      <c r="F23" s="392">
        <f aca="true" t="shared" si="3" ref="F23:F33">+D23+E23</f>
        <v>0</v>
      </c>
      <c r="G23" s="391">
        <f>-(SCRI!G51+SCRI!H51)</f>
        <v>0</v>
      </c>
      <c r="H23" s="392">
        <f>-SCRI!H51</f>
        <v>0</v>
      </c>
      <c r="I23" s="393">
        <f aca="true" t="shared" si="4" ref="I23:I33">+H23-D23</f>
        <v>0</v>
      </c>
    </row>
    <row r="24" spans="2:9" ht="12">
      <c r="B24" s="694" t="s">
        <v>443</v>
      </c>
      <c r="C24" s="695"/>
      <c r="D24" s="391">
        <f>+SCRI!D52</f>
        <v>0</v>
      </c>
      <c r="E24" s="391">
        <f>+SCRI!F52</f>
        <v>0</v>
      </c>
      <c r="F24" s="392">
        <f t="shared" si="3"/>
        <v>0</v>
      </c>
      <c r="G24" s="391">
        <f>-(SCRI!G52+SCRI!H52)</f>
        <v>0</v>
      </c>
      <c r="H24" s="392">
        <f>-SCRI!H52</f>
        <v>0</v>
      </c>
      <c r="I24" s="393">
        <f t="shared" si="4"/>
        <v>0</v>
      </c>
    </row>
    <row r="25" spans="2:9" ht="12">
      <c r="B25" s="694" t="s">
        <v>444</v>
      </c>
      <c r="C25" s="695"/>
      <c r="D25" s="391">
        <f>+SCRI!D53</f>
        <v>0</v>
      </c>
      <c r="E25" s="391">
        <f>+SCRI!F53</f>
        <v>0</v>
      </c>
      <c r="F25" s="392">
        <f t="shared" si="3"/>
        <v>0</v>
      </c>
      <c r="G25" s="391">
        <f>-(SCRI!G53+SCRI!H53)</f>
        <v>0</v>
      </c>
      <c r="H25" s="392">
        <f>-SCRI!H53</f>
        <v>0</v>
      </c>
      <c r="I25" s="393">
        <f t="shared" si="4"/>
        <v>0</v>
      </c>
    </row>
    <row r="26" spans="2:9" ht="12">
      <c r="B26" s="233" t="s">
        <v>445</v>
      </c>
      <c r="C26" s="214"/>
      <c r="D26" s="391">
        <f>+SCRI!D54</f>
        <v>0</v>
      </c>
      <c r="E26" s="391">
        <f>+SCRI!F54</f>
        <v>0</v>
      </c>
      <c r="F26" s="392">
        <f t="shared" si="3"/>
        <v>0</v>
      </c>
      <c r="G26" s="391">
        <f>-(SCRI!G54+SCRI!H54)</f>
        <v>0</v>
      </c>
      <c r="H26" s="392">
        <f>-SCRI!H54</f>
        <v>0</v>
      </c>
      <c r="I26" s="393">
        <f t="shared" si="4"/>
        <v>0</v>
      </c>
    </row>
    <row r="27" spans="2:9" ht="12">
      <c r="B27" s="694" t="s">
        <v>446</v>
      </c>
      <c r="C27" s="695"/>
      <c r="D27" s="391">
        <f>+SCRI!D55</f>
        <v>0</v>
      </c>
      <c r="E27" s="391">
        <f>+SCRI!F55</f>
        <v>0</v>
      </c>
      <c r="F27" s="392">
        <f t="shared" si="3"/>
        <v>0</v>
      </c>
      <c r="G27" s="391">
        <f>-(SCRI!G55+SCRI!H55)</f>
        <v>0</v>
      </c>
      <c r="H27" s="392">
        <f>-SCRI!H55</f>
        <v>0</v>
      </c>
      <c r="I27" s="393">
        <f t="shared" si="4"/>
        <v>0</v>
      </c>
    </row>
    <row r="28" spans="2:9" ht="12">
      <c r="B28" s="238" t="s">
        <v>447</v>
      </c>
      <c r="C28" s="270"/>
      <c r="D28" s="391">
        <f>+SCRI!D56</f>
        <v>0</v>
      </c>
      <c r="E28" s="391">
        <f>+SCRI!F56</f>
        <v>0</v>
      </c>
      <c r="F28" s="392">
        <f t="shared" si="3"/>
        <v>0</v>
      </c>
      <c r="G28" s="391">
        <f>-(SCRI!G56+SCRI!H56)</f>
        <v>0</v>
      </c>
      <c r="H28" s="392">
        <f>-SCRI!H56</f>
        <v>0</v>
      </c>
      <c r="I28" s="393">
        <f t="shared" si="4"/>
        <v>0</v>
      </c>
    </row>
    <row r="29" spans="2:9" ht="12">
      <c r="B29" s="204" t="s">
        <v>448</v>
      </c>
      <c r="C29" s="201"/>
      <c r="D29" s="391">
        <f>+SCRI!D57</f>
        <v>0</v>
      </c>
      <c r="E29" s="391">
        <f>+SCRI!F57</f>
        <v>0</v>
      </c>
      <c r="F29" s="392">
        <f t="shared" si="3"/>
        <v>0</v>
      </c>
      <c r="G29" s="391">
        <f>-(SCRI!G57+SCRI!H57)</f>
        <v>0</v>
      </c>
      <c r="H29" s="392">
        <f>-SCRI!H57</f>
        <v>0</v>
      </c>
      <c r="I29" s="393">
        <f t="shared" si="4"/>
        <v>0</v>
      </c>
    </row>
    <row r="30" spans="2:9" ht="12">
      <c r="B30" s="204" t="s">
        <v>449</v>
      </c>
      <c r="C30" s="201"/>
      <c r="D30" s="391">
        <f>+SCRI!D58</f>
        <v>0</v>
      </c>
      <c r="E30" s="391">
        <f>+SCRI!F58</f>
        <v>0</v>
      </c>
      <c r="F30" s="392">
        <f t="shared" si="3"/>
        <v>0</v>
      </c>
      <c r="G30" s="391">
        <f>-(SCRI!G58+SCRI!H58)</f>
        <v>0</v>
      </c>
      <c r="H30" s="392">
        <f>-SCRI!H58</f>
        <v>0</v>
      </c>
      <c r="I30" s="393">
        <f t="shared" si="4"/>
        <v>0</v>
      </c>
    </row>
    <row r="31" spans="2:9" ht="12">
      <c r="B31" s="204" t="s">
        <v>450</v>
      </c>
      <c r="C31" s="201"/>
      <c r="D31" s="391">
        <f>+SCRI!D59</f>
        <v>0</v>
      </c>
      <c r="E31" s="391">
        <f>+SCRI!F59</f>
        <v>0</v>
      </c>
      <c r="F31" s="392">
        <f t="shared" si="3"/>
        <v>0</v>
      </c>
      <c r="G31" s="391">
        <f>-(SCRI!G59+SCRI!H59)</f>
        <v>0</v>
      </c>
      <c r="H31" s="392">
        <f>-SCRI!H59</f>
        <v>0</v>
      </c>
      <c r="I31" s="393">
        <f t="shared" si="4"/>
        <v>0</v>
      </c>
    </row>
    <row r="32" spans="2:9" ht="12">
      <c r="B32" s="204" t="s">
        <v>451</v>
      </c>
      <c r="C32" s="201"/>
      <c r="D32" s="391">
        <f>+SCRI!D60</f>
        <v>0</v>
      </c>
      <c r="E32" s="391">
        <f>+SCRI!F60</f>
        <v>0</v>
      </c>
      <c r="F32" s="392">
        <f t="shared" si="3"/>
        <v>0</v>
      </c>
      <c r="G32" s="391">
        <f>-(SCRI!G60+SCRI!H60)</f>
        <v>0</v>
      </c>
      <c r="H32" s="392">
        <f>-SCRI!H60</f>
        <v>0</v>
      </c>
      <c r="I32" s="393">
        <f t="shared" si="4"/>
        <v>0</v>
      </c>
    </row>
    <row r="33" spans="2:9" ht="12">
      <c r="B33" s="694" t="s">
        <v>452</v>
      </c>
      <c r="C33" s="695"/>
      <c r="D33" s="394">
        <f>+SCRI!D61</f>
        <v>0</v>
      </c>
      <c r="E33" s="394">
        <f>+SCRI!F61</f>
        <v>0</v>
      </c>
      <c r="F33" s="395">
        <f t="shared" si="3"/>
        <v>0</v>
      </c>
      <c r="G33" s="394">
        <f>-(SCRI!G61+SCRI!H61)</f>
        <v>0</v>
      </c>
      <c r="H33" s="395">
        <f>-SCRI!H61</f>
        <v>0</v>
      </c>
      <c r="I33" s="393">
        <f t="shared" si="4"/>
        <v>0</v>
      </c>
    </row>
    <row r="34" spans="2:9" ht="12">
      <c r="B34" s="694" t="s">
        <v>453</v>
      </c>
      <c r="C34" s="695"/>
      <c r="D34" s="391">
        <f aca="true" t="shared" si="5" ref="D34:I34">SUM(D35:D39)</f>
        <v>0</v>
      </c>
      <c r="E34" s="391">
        <f t="shared" si="5"/>
        <v>0</v>
      </c>
      <c r="F34" s="392">
        <f t="shared" si="5"/>
        <v>0</v>
      </c>
      <c r="G34" s="391">
        <f t="shared" si="5"/>
        <v>0</v>
      </c>
      <c r="H34" s="391">
        <f t="shared" si="5"/>
        <v>0</v>
      </c>
      <c r="I34" s="391">
        <f t="shared" si="5"/>
        <v>0</v>
      </c>
    </row>
    <row r="35" spans="2:9" ht="12">
      <c r="B35" s="204" t="s">
        <v>454</v>
      </c>
      <c r="C35" s="201"/>
      <c r="D35" s="391">
        <f>+SCRI!D63</f>
        <v>0</v>
      </c>
      <c r="E35" s="391">
        <f>+SCRI!F63</f>
        <v>0</v>
      </c>
      <c r="F35" s="392">
        <f aca="true" t="shared" si="6" ref="F35:F45">+D35+E35</f>
        <v>0</v>
      </c>
      <c r="G35" s="391">
        <f>-(SCRI!G63+SCRI!H63)</f>
        <v>0</v>
      </c>
      <c r="H35" s="392">
        <f>-SCRI!H63</f>
        <v>0</v>
      </c>
      <c r="I35" s="393">
        <f aca="true" t="shared" si="7" ref="I35:I45">+H35-D35</f>
        <v>0</v>
      </c>
    </row>
    <row r="36" spans="2:9" ht="12">
      <c r="B36" s="204" t="s">
        <v>455</v>
      </c>
      <c r="C36" s="201"/>
      <c r="D36" s="391">
        <f>+SCRI!D64</f>
        <v>0</v>
      </c>
      <c r="E36" s="391">
        <f>+SCRI!F64</f>
        <v>0</v>
      </c>
      <c r="F36" s="392">
        <f t="shared" si="6"/>
        <v>0</v>
      </c>
      <c r="G36" s="391">
        <f>-(SCRI!G64+SCRI!H64)</f>
        <v>0</v>
      </c>
      <c r="H36" s="392">
        <f>-SCRI!H64</f>
        <v>0</v>
      </c>
      <c r="I36" s="393">
        <f t="shared" si="7"/>
        <v>0</v>
      </c>
    </row>
    <row r="37" spans="2:9" ht="12">
      <c r="B37" s="204" t="s">
        <v>456</v>
      </c>
      <c r="C37" s="201"/>
      <c r="D37" s="391">
        <f>+SCRI!D65</f>
        <v>0</v>
      </c>
      <c r="E37" s="391">
        <f>+SCRI!F65</f>
        <v>0</v>
      </c>
      <c r="F37" s="392">
        <f t="shared" si="6"/>
        <v>0</v>
      </c>
      <c r="G37" s="391">
        <f>-(SCRI!G65+SCRI!H65)</f>
        <v>0</v>
      </c>
      <c r="H37" s="392">
        <f>-SCRI!H65</f>
        <v>0</v>
      </c>
      <c r="I37" s="393">
        <f t="shared" si="7"/>
        <v>0</v>
      </c>
    </row>
    <row r="38" spans="2:9" ht="12">
      <c r="B38" s="204" t="s">
        <v>457</v>
      </c>
      <c r="C38" s="201"/>
      <c r="D38" s="391">
        <f>+SCRI!D66</f>
        <v>0</v>
      </c>
      <c r="E38" s="391">
        <f>+SCRI!F66</f>
        <v>0</v>
      </c>
      <c r="F38" s="392">
        <f t="shared" si="6"/>
        <v>0</v>
      </c>
      <c r="G38" s="391">
        <f>-(SCRI!G66+SCRI!H66)</f>
        <v>0</v>
      </c>
      <c r="H38" s="392">
        <f>-SCRI!H66</f>
        <v>0</v>
      </c>
      <c r="I38" s="393">
        <f t="shared" si="7"/>
        <v>0</v>
      </c>
    </row>
    <row r="39" spans="2:9" ht="12">
      <c r="B39" s="204" t="s">
        <v>458</v>
      </c>
      <c r="C39" s="201"/>
      <c r="D39" s="391">
        <f>+SCRI!D67</f>
        <v>0</v>
      </c>
      <c r="E39" s="391">
        <f>+SCRI!F67</f>
        <v>0</v>
      </c>
      <c r="F39" s="392">
        <f t="shared" si="6"/>
        <v>0</v>
      </c>
      <c r="G39" s="391">
        <f>-(SCRI!G67+SCRI!H67)</f>
        <v>0</v>
      </c>
      <c r="H39" s="392">
        <f>-SCRI!H67</f>
        <v>0</v>
      </c>
      <c r="I39" s="393">
        <f t="shared" si="7"/>
        <v>0</v>
      </c>
    </row>
    <row r="40" spans="2:9" ht="12">
      <c r="B40" s="204" t="s">
        <v>459</v>
      </c>
      <c r="C40" s="201"/>
      <c r="D40" s="391">
        <f>+SCRI!D68</f>
        <v>0</v>
      </c>
      <c r="E40" s="391">
        <f>+SCRI!F68</f>
        <v>0</v>
      </c>
      <c r="F40" s="392">
        <f t="shared" si="6"/>
        <v>0</v>
      </c>
      <c r="G40" s="391">
        <f>-(SCRI!G68+SCRI!H68)</f>
        <v>0</v>
      </c>
      <c r="H40" s="392">
        <f>-SCRI!H68</f>
        <v>0</v>
      </c>
      <c r="I40" s="393">
        <f t="shared" si="7"/>
        <v>0</v>
      </c>
    </row>
    <row r="41" spans="2:9" ht="12">
      <c r="B41" s="204" t="s">
        <v>460</v>
      </c>
      <c r="C41" s="201"/>
      <c r="D41" s="391">
        <f>+D42</f>
        <v>0</v>
      </c>
      <c r="E41" s="391">
        <f>+E42</f>
        <v>0</v>
      </c>
      <c r="F41" s="392">
        <f t="shared" si="6"/>
        <v>0</v>
      </c>
      <c r="G41" s="391">
        <f>+G42</f>
        <v>0</v>
      </c>
      <c r="H41" s="392">
        <f>-H42</f>
        <v>0</v>
      </c>
      <c r="I41" s="393">
        <f t="shared" si="7"/>
        <v>0</v>
      </c>
    </row>
    <row r="42" spans="2:9" ht="12">
      <c r="B42" s="204" t="s">
        <v>461</v>
      </c>
      <c r="C42" s="201"/>
      <c r="D42" s="391">
        <f>+SCRI!D70</f>
        <v>0</v>
      </c>
      <c r="E42" s="391">
        <f>+SCRI!F70</f>
        <v>0</v>
      </c>
      <c r="F42" s="392">
        <f t="shared" si="6"/>
        <v>0</v>
      </c>
      <c r="G42" s="391">
        <f>-(SCRI!G70+SCRI!H70)</f>
        <v>0</v>
      </c>
      <c r="H42" s="392">
        <f>-SCRI!H70</f>
        <v>0</v>
      </c>
      <c r="I42" s="393">
        <f t="shared" si="7"/>
        <v>0</v>
      </c>
    </row>
    <row r="43" spans="2:9" ht="12">
      <c r="B43" s="204" t="s">
        <v>757</v>
      </c>
      <c r="C43" s="201"/>
      <c r="D43" s="391">
        <f>+D44+D45</f>
        <v>0</v>
      </c>
      <c r="E43" s="391">
        <f>+E44+E45</f>
        <v>0</v>
      </c>
      <c r="F43" s="392">
        <f t="shared" si="6"/>
        <v>0</v>
      </c>
      <c r="G43" s="391">
        <f>+G44+G45</f>
        <v>0</v>
      </c>
      <c r="H43" s="392">
        <f>-H44+H45</f>
        <v>0</v>
      </c>
      <c r="I43" s="393">
        <f t="shared" si="7"/>
        <v>0</v>
      </c>
    </row>
    <row r="44" spans="2:9" ht="12">
      <c r="B44" s="204" t="s">
        <v>462</v>
      </c>
      <c r="C44" s="201"/>
      <c r="D44" s="391">
        <f>+SCRI!D72</f>
        <v>0</v>
      </c>
      <c r="E44" s="391">
        <f>+SCRI!F72</f>
        <v>0</v>
      </c>
      <c r="F44" s="392">
        <f t="shared" si="6"/>
        <v>0</v>
      </c>
      <c r="G44" s="391">
        <f>-(SCRI!G72+SCRI!H72)</f>
        <v>0</v>
      </c>
      <c r="H44" s="392">
        <f>-SCRI!H72</f>
        <v>0</v>
      </c>
      <c r="I44" s="393">
        <f t="shared" si="7"/>
        <v>0</v>
      </c>
    </row>
    <row r="45" spans="2:9" ht="12">
      <c r="B45" s="204" t="s">
        <v>463</v>
      </c>
      <c r="C45" s="201"/>
      <c r="D45" s="391">
        <f>+SCRI!D73</f>
        <v>0</v>
      </c>
      <c r="E45" s="391">
        <f>+SCRI!F73</f>
        <v>0</v>
      </c>
      <c r="F45" s="392">
        <f t="shared" si="6"/>
        <v>0</v>
      </c>
      <c r="G45" s="391">
        <f>-(SCRI!G73+SCRI!H73)</f>
        <v>0</v>
      </c>
      <c r="H45" s="392">
        <f>-SCRI!H73</f>
        <v>0</v>
      </c>
      <c r="I45" s="393">
        <f t="shared" si="7"/>
        <v>0</v>
      </c>
    </row>
    <row r="46" spans="2:9" ht="12">
      <c r="B46" s="710" t="s">
        <v>638</v>
      </c>
      <c r="C46" s="711"/>
      <c r="D46" s="382">
        <f aca="true" t="shared" si="8" ref="D46:I46">+D14+D15+D16+D17+D18+D19+D20+D21+D34+D40+D41+D43</f>
        <v>2000000</v>
      </c>
      <c r="E46" s="382">
        <f t="shared" si="8"/>
        <v>220084.96</v>
      </c>
      <c r="F46" s="383">
        <f t="shared" si="8"/>
        <v>2220084.96</v>
      </c>
      <c r="G46" s="382">
        <f t="shared" si="8"/>
        <v>2160656.06</v>
      </c>
      <c r="H46" s="383">
        <f t="shared" si="8"/>
        <v>2160656.06</v>
      </c>
      <c r="I46" s="383">
        <f t="shared" si="8"/>
        <v>160656.06000000006</v>
      </c>
    </row>
    <row r="47" spans="2:9" ht="12">
      <c r="B47" s="204" t="s">
        <v>464</v>
      </c>
      <c r="C47" s="201"/>
      <c r="D47" s="391">
        <f>+SCRI!D74</f>
        <v>0</v>
      </c>
      <c r="E47" s="391">
        <f>+SCRI!F74</f>
        <v>0</v>
      </c>
      <c r="F47" s="392">
        <f>+D47+E47</f>
        <v>0</v>
      </c>
      <c r="G47" s="391">
        <f>-(SCRI!G74+SCRI!G74)</f>
        <v>0</v>
      </c>
      <c r="H47" s="392">
        <f>-SCRI!H74</f>
        <v>0</v>
      </c>
      <c r="I47" s="393">
        <f>+H47-D47</f>
        <v>0</v>
      </c>
    </row>
    <row r="48" spans="2:9" ht="12">
      <c r="B48" s="204"/>
      <c r="C48" s="201"/>
      <c r="D48" s="391"/>
      <c r="E48" s="391"/>
      <c r="F48" s="392"/>
      <c r="G48" s="391"/>
      <c r="H48" s="392"/>
      <c r="I48" s="393"/>
    </row>
    <row r="49" spans="2:9" ht="12">
      <c r="B49" s="269" t="s">
        <v>465</v>
      </c>
      <c r="C49" s="271"/>
      <c r="D49" s="391"/>
      <c r="E49" s="391"/>
      <c r="F49" s="392"/>
      <c r="G49" s="391"/>
      <c r="H49" s="392"/>
      <c r="I49" s="393"/>
    </row>
    <row r="50" spans="2:9" ht="12">
      <c r="B50" s="204" t="s">
        <v>466</v>
      </c>
      <c r="C50" s="201"/>
      <c r="D50" s="391">
        <f aca="true" t="shared" si="9" ref="D50:I50">SUM(D51:D58)</f>
        <v>6423385478</v>
      </c>
      <c r="E50" s="391">
        <f t="shared" si="9"/>
        <v>7369677.8</v>
      </c>
      <c r="F50" s="392">
        <f t="shared" si="9"/>
        <v>6430755155.8</v>
      </c>
      <c r="G50" s="391">
        <f t="shared" si="9"/>
        <v>3318930859.84</v>
      </c>
      <c r="H50" s="392">
        <f t="shared" si="9"/>
        <v>212034504.27</v>
      </c>
      <c r="I50" s="392">
        <f t="shared" si="9"/>
        <v>-6211350973.73</v>
      </c>
    </row>
    <row r="51" spans="2:9" ht="25.5" customHeight="1">
      <c r="B51" s="694" t="s">
        <v>467</v>
      </c>
      <c r="C51" s="695"/>
      <c r="D51" s="391">
        <f>+SCRI!D78</f>
        <v>6423385478</v>
      </c>
      <c r="E51" s="391">
        <f>+SCRI!F78</f>
        <v>7369677.8</v>
      </c>
      <c r="F51" s="392">
        <f aca="true" t="shared" si="10" ref="F51:F58">+D51+E51</f>
        <v>6430755155.8</v>
      </c>
      <c r="G51" s="391">
        <f>-(SCRI!G78+SCRI!H78)</f>
        <v>3318930859.84</v>
      </c>
      <c r="H51" s="392">
        <f>-SCRI!H78</f>
        <v>212034504.27</v>
      </c>
      <c r="I51" s="393">
        <f aca="true" t="shared" si="11" ref="I51:I58">+H51-D51</f>
        <v>-6211350973.73</v>
      </c>
    </row>
    <row r="52" spans="2:9" ht="12">
      <c r="B52" s="204" t="s">
        <v>468</v>
      </c>
      <c r="C52" s="201"/>
      <c r="D52" s="391">
        <f>+SCRI!D79</f>
        <v>0</v>
      </c>
      <c r="E52" s="391">
        <f>+SCRI!F79</f>
        <v>0</v>
      </c>
      <c r="F52" s="392">
        <f t="shared" si="10"/>
        <v>0</v>
      </c>
      <c r="G52" s="391">
        <f>-(SCRI!G79+SCRI!H79)</f>
        <v>0</v>
      </c>
      <c r="H52" s="392">
        <f>-SCRI!H79</f>
        <v>0</v>
      </c>
      <c r="I52" s="393">
        <f t="shared" si="11"/>
        <v>0</v>
      </c>
    </row>
    <row r="53" spans="2:9" ht="12">
      <c r="B53" s="204" t="s">
        <v>469</v>
      </c>
      <c r="C53" s="201"/>
      <c r="D53" s="391">
        <f>+SCRI!D80</f>
        <v>0</v>
      </c>
      <c r="E53" s="391">
        <f>+SCRI!F80</f>
        <v>0</v>
      </c>
      <c r="F53" s="392">
        <f t="shared" si="10"/>
        <v>0</v>
      </c>
      <c r="G53" s="391">
        <f>-(SCRI!G80+SCRI!H80)</f>
        <v>0</v>
      </c>
      <c r="H53" s="392">
        <f>-SCRI!H80</f>
        <v>0</v>
      </c>
      <c r="I53" s="393">
        <f t="shared" si="11"/>
        <v>0</v>
      </c>
    </row>
    <row r="54" spans="2:9" ht="36" customHeight="1">
      <c r="B54" s="694" t="s">
        <v>470</v>
      </c>
      <c r="C54" s="695"/>
      <c r="D54" s="391">
        <f>+SCRI!D81</f>
        <v>0</v>
      </c>
      <c r="E54" s="391">
        <f>+SCRI!F81</f>
        <v>0</v>
      </c>
      <c r="F54" s="392">
        <f t="shared" si="10"/>
        <v>0</v>
      </c>
      <c r="G54" s="391">
        <f>-(SCRI!G81+SCRI!H81)</f>
        <v>0</v>
      </c>
      <c r="H54" s="392">
        <f>-SCRI!H81</f>
        <v>0</v>
      </c>
      <c r="I54" s="393">
        <f t="shared" si="11"/>
        <v>0</v>
      </c>
    </row>
    <row r="55" spans="2:9" ht="12">
      <c r="B55" s="204" t="s">
        <v>471</v>
      </c>
      <c r="C55" s="201"/>
      <c r="D55" s="391">
        <f>+SCRI!D82</f>
        <v>0</v>
      </c>
      <c r="E55" s="391">
        <f>+SCRI!F82</f>
        <v>0</v>
      </c>
      <c r="F55" s="392">
        <f t="shared" si="10"/>
        <v>0</v>
      </c>
      <c r="G55" s="391">
        <f>-(SCRI!G82+SCRI!H82)</f>
        <v>0</v>
      </c>
      <c r="H55" s="392">
        <f>-SCRI!H82</f>
        <v>0</v>
      </c>
      <c r="I55" s="393">
        <f t="shared" si="11"/>
        <v>0</v>
      </c>
    </row>
    <row r="56" spans="2:9" ht="25.5" customHeight="1">
      <c r="B56" s="694" t="s">
        <v>472</v>
      </c>
      <c r="C56" s="695"/>
      <c r="D56" s="391">
        <f>+SCRI!D83</f>
        <v>0</v>
      </c>
      <c r="E56" s="391">
        <f>+SCRI!F83</f>
        <v>0</v>
      </c>
      <c r="F56" s="392">
        <f t="shared" si="10"/>
        <v>0</v>
      </c>
      <c r="G56" s="391">
        <f>-(SCRI!G83+SCRI!H83)</f>
        <v>0</v>
      </c>
      <c r="H56" s="392">
        <f>-SCRI!H83</f>
        <v>0</v>
      </c>
      <c r="I56" s="393">
        <f t="shared" si="11"/>
        <v>0</v>
      </c>
    </row>
    <row r="57" spans="2:9" ht="24.75" customHeight="1">
      <c r="B57" s="694" t="s">
        <v>473</v>
      </c>
      <c r="C57" s="695"/>
      <c r="D57" s="391">
        <f>+SCRI!D84</f>
        <v>0</v>
      </c>
      <c r="E57" s="391">
        <f>+SCRI!F84</f>
        <v>0</v>
      </c>
      <c r="F57" s="392">
        <f t="shared" si="10"/>
        <v>0</v>
      </c>
      <c r="G57" s="391">
        <f>-(SCRI!G84+SCRI!H84)</f>
        <v>0</v>
      </c>
      <c r="H57" s="392">
        <f>-SCRI!H84</f>
        <v>0</v>
      </c>
      <c r="I57" s="393">
        <f t="shared" si="11"/>
        <v>0</v>
      </c>
    </row>
    <row r="58" spans="2:9" ht="24" customHeight="1">
      <c r="B58" s="694" t="s">
        <v>474</v>
      </c>
      <c r="C58" s="695"/>
      <c r="D58" s="391">
        <f>+SCRI!D85</f>
        <v>0</v>
      </c>
      <c r="E58" s="391">
        <f>+SCRI!F85</f>
        <v>0</v>
      </c>
      <c r="F58" s="392">
        <f t="shared" si="10"/>
        <v>0</v>
      </c>
      <c r="G58" s="391">
        <f>-(SCRI!G85+SCRI!H85)</f>
        <v>0</v>
      </c>
      <c r="H58" s="392">
        <f>-SCRI!H85</f>
        <v>0</v>
      </c>
      <c r="I58" s="393">
        <f t="shared" si="11"/>
        <v>0</v>
      </c>
    </row>
    <row r="59" spans="2:9" ht="12">
      <c r="B59" s="233" t="s">
        <v>475</v>
      </c>
      <c r="C59" s="214"/>
      <c r="D59" s="391">
        <f aca="true" t="shared" si="12" ref="D59:I59">SUM(D60:D63)</f>
        <v>0</v>
      </c>
      <c r="E59" s="391">
        <f t="shared" si="12"/>
        <v>0</v>
      </c>
      <c r="F59" s="392">
        <f t="shared" si="12"/>
        <v>0</v>
      </c>
      <c r="G59" s="391">
        <f t="shared" si="12"/>
        <v>0</v>
      </c>
      <c r="H59" s="392">
        <f t="shared" si="12"/>
        <v>0</v>
      </c>
      <c r="I59" s="392">
        <f t="shared" si="12"/>
        <v>0</v>
      </c>
    </row>
    <row r="60" spans="2:9" ht="12">
      <c r="B60" s="694" t="s">
        <v>476</v>
      </c>
      <c r="C60" s="695"/>
      <c r="D60" s="391">
        <f>+SCRI!D87</f>
        <v>0</v>
      </c>
      <c r="E60" s="391">
        <f>+SCRI!F87</f>
        <v>0</v>
      </c>
      <c r="F60" s="392">
        <f>+D60+E60</f>
        <v>0</v>
      </c>
      <c r="G60" s="391">
        <f>-(SCRI!G87+SCRI!H87)</f>
        <v>0</v>
      </c>
      <c r="H60" s="392">
        <f>-SCRI!H87</f>
        <v>0</v>
      </c>
      <c r="I60" s="393">
        <f>+H60-D60</f>
        <v>0</v>
      </c>
    </row>
    <row r="61" spans="2:9" ht="12">
      <c r="B61" s="238" t="s">
        <v>477</v>
      </c>
      <c r="C61" s="270"/>
      <c r="D61" s="391">
        <f>+SCRI!D88</f>
        <v>0</v>
      </c>
      <c r="E61" s="391">
        <f>+SCRI!F88</f>
        <v>0</v>
      </c>
      <c r="F61" s="392">
        <f>+D61+E61</f>
        <v>0</v>
      </c>
      <c r="G61" s="391">
        <f>-(SCRI!G88+SCRI!H88)</f>
        <v>0</v>
      </c>
      <c r="H61" s="392">
        <f>-SCRI!H88</f>
        <v>0</v>
      </c>
      <c r="I61" s="393">
        <f>+H61-D61</f>
        <v>0</v>
      </c>
    </row>
    <row r="62" spans="2:9" ht="12">
      <c r="B62" s="204" t="s">
        <v>478</v>
      </c>
      <c r="C62" s="201"/>
      <c r="D62" s="391">
        <f>+SCRI!D89</f>
        <v>0</v>
      </c>
      <c r="E62" s="391">
        <f>+SCRI!F89</f>
        <v>0</v>
      </c>
      <c r="F62" s="392">
        <f>+D62+E62</f>
        <v>0</v>
      </c>
      <c r="G62" s="391">
        <f>-(SCRI!G89+SCRI!H89)</f>
        <v>0</v>
      </c>
      <c r="H62" s="392">
        <f>-SCRI!H89</f>
        <v>0</v>
      </c>
      <c r="I62" s="393">
        <f>+H62-D62</f>
        <v>0</v>
      </c>
    </row>
    <row r="63" spans="2:9" ht="12">
      <c r="B63" s="204" t="s">
        <v>479</v>
      </c>
      <c r="C63" s="201"/>
      <c r="D63" s="391">
        <f>+SCRI!D90</f>
        <v>0</v>
      </c>
      <c r="E63" s="391">
        <f>+SCRI!F90</f>
        <v>0</v>
      </c>
      <c r="F63" s="392">
        <f>+D63+E63</f>
        <v>0</v>
      </c>
      <c r="G63" s="391">
        <f>-(SCRI!G90+SCRI!H90)</f>
        <v>0</v>
      </c>
      <c r="H63" s="392">
        <f>-SCRI!H90</f>
        <v>0</v>
      </c>
      <c r="I63" s="393">
        <f>+H63-D63</f>
        <v>0</v>
      </c>
    </row>
    <row r="64" spans="2:9" ht="12">
      <c r="B64" s="204" t="s">
        <v>480</v>
      </c>
      <c r="C64" s="201"/>
      <c r="D64" s="391">
        <f aca="true" t="shared" si="13" ref="D64:I64">SUM(D65:D66)</f>
        <v>0</v>
      </c>
      <c r="E64" s="391">
        <f t="shared" si="13"/>
        <v>0</v>
      </c>
      <c r="F64" s="392">
        <f t="shared" si="13"/>
        <v>0</v>
      </c>
      <c r="G64" s="391">
        <f t="shared" si="13"/>
        <v>0</v>
      </c>
      <c r="H64" s="392">
        <f t="shared" si="13"/>
        <v>0</v>
      </c>
      <c r="I64" s="392">
        <f t="shared" si="13"/>
        <v>0</v>
      </c>
    </row>
    <row r="65" spans="2:9" ht="12">
      <c r="B65" s="694" t="s">
        <v>481</v>
      </c>
      <c r="C65" s="695"/>
      <c r="D65" s="391">
        <f>+SCRI!D92</f>
        <v>0</v>
      </c>
      <c r="E65" s="391">
        <f>+SCRI!F92</f>
        <v>0</v>
      </c>
      <c r="F65" s="392">
        <f>+D65+E65</f>
        <v>0</v>
      </c>
      <c r="G65" s="391">
        <f>-(SCRI!G92+SCRI!H92)</f>
        <v>0</v>
      </c>
      <c r="H65" s="392">
        <f>-SCRI!H92</f>
        <v>0</v>
      </c>
      <c r="I65" s="393">
        <f>+H65-D65</f>
        <v>0</v>
      </c>
    </row>
    <row r="66" spans="2:9" ht="12">
      <c r="B66" s="233" t="s">
        <v>482</v>
      </c>
      <c r="C66" s="214"/>
      <c r="D66" s="391">
        <f>+SCRI!D93</f>
        <v>0</v>
      </c>
      <c r="E66" s="391">
        <f>+SCRI!F93</f>
        <v>0</v>
      </c>
      <c r="F66" s="392">
        <f>+D66+E66</f>
        <v>0</v>
      </c>
      <c r="G66" s="391">
        <f>-(SCRI!G93+SCRI!H93)</f>
        <v>0</v>
      </c>
      <c r="H66" s="392">
        <f>-SCRI!H93</f>
        <v>0</v>
      </c>
      <c r="I66" s="393">
        <f>+H66-D66</f>
        <v>0</v>
      </c>
    </row>
    <row r="67" spans="2:9" ht="12">
      <c r="B67" s="694" t="s">
        <v>483</v>
      </c>
      <c r="C67" s="695"/>
      <c r="D67" s="391">
        <f>+SUM(SCRI!D95:D102)</f>
        <v>577072515</v>
      </c>
      <c r="E67" s="391">
        <f>+SUM(SCRI!F95:F102)</f>
        <v>129944498.58</v>
      </c>
      <c r="F67" s="392">
        <f>+D67+E67</f>
        <v>707017013.58</v>
      </c>
      <c r="G67" s="391">
        <f>-SUM(SCRI!G95:G102,SCRI!H95:H102)</f>
        <v>545764126.2</v>
      </c>
      <c r="H67" s="392">
        <f>-SUM(SCRI!H95:H102)</f>
        <v>545763737.49</v>
      </c>
      <c r="I67" s="393">
        <f>+H67-D67</f>
        <v>-31308777.50999999</v>
      </c>
    </row>
    <row r="68" spans="2:9" ht="12">
      <c r="B68" s="204" t="s">
        <v>484</v>
      </c>
      <c r="C68" s="201"/>
      <c r="D68" s="391">
        <f>+SUM(SCRI!D101)</f>
        <v>0</v>
      </c>
      <c r="E68" s="391">
        <f>+SUM(SCRI!F101)</f>
        <v>0</v>
      </c>
      <c r="F68" s="392">
        <f>+D68+E68</f>
        <v>0</v>
      </c>
      <c r="G68" s="391">
        <f>-SUM(SCRI!G101,SCRI!H101)</f>
        <v>0</v>
      </c>
      <c r="H68" s="392">
        <f>-SUM(SCRI!H101)</f>
        <v>0</v>
      </c>
      <c r="I68" s="393">
        <f>+H68-D68</f>
        <v>0</v>
      </c>
    </row>
    <row r="69" spans="2:9" ht="12">
      <c r="B69" s="204"/>
      <c r="C69" s="201"/>
      <c r="D69" s="391"/>
      <c r="E69" s="391"/>
      <c r="F69" s="392"/>
      <c r="G69" s="391"/>
      <c r="H69" s="392"/>
      <c r="I69" s="393"/>
    </row>
    <row r="70" spans="2:9" ht="24">
      <c r="B70" s="208" t="s">
        <v>485</v>
      </c>
      <c r="C70" s="264"/>
      <c r="D70" s="382">
        <f>+D50+D59+D64+D67+D68</f>
        <v>7000457993</v>
      </c>
      <c r="E70" s="382">
        <f>+E50+E59+E64+E67+E68</f>
        <v>137314176.38</v>
      </c>
      <c r="F70" s="383">
        <f>+F50+F59+F64+F67+F68</f>
        <v>7137772169.38</v>
      </c>
      <c r="G70" s="382">
        <f>+G50+G59+G64+G67+G68</f>
        <v>3864694986.04</v>
      </c>
      <c r="H70" s="383">
        <f>+H50+H59+H64+H67+H68</f>
        <v>757798241.76</v>
      </c>
      <c r="I70" s="384">
        <f>+H70-D70</f>
        <v>-6242659751.24</v>
      </c>
    </row>
    <row r="71" spans="2:9" ht="12">
      <c r="B71" s="204"/>
      <c r="C71" s="201"/>
      <c r="D71" s="391"/>
      <c r="E71" s="391"/>
      <c r="F71" s="392"/>
      <c r="G71" s="391"/>
      <c r="H71" s="392"/>
      <c r="I71" s="393"/>
    </row>
    <row r="72" spans="2:9" ht="12">
      <c r="B72" s="236" t="s">
        <v>486</v>
      </c>
      <c r="C72" s="203"/>
      <c r="D72" s="382">
        <f>+D73</f>
        <v>0</v>
      </c>
      <c r="E72" s="382">
        <f>+F73</f>
        <v>0</v>
      </c>
      <c r="F72" s="383">
        <f>+F73</f>
        <v>0</v>
      </c>
      <c r="G72" s="382">
        <f>+G73</f>
        <v>0</v>
      </c>
      <c r="H72" s="383">
        <f>+H73</f>
        <v>0</v>
      </c>
      <c r="I72" s="383">
        <f>+I73</f>
        <v>0</v>
      </c>
    </row>
    <row r="73" spans="2:9" ht="12">
      <c r="B73" s="204" t="s">
        <v>756</v>
      </c>
      <c r="C73" s="201"/>
      <c r="D73" s="391">
        <f>+SUM(SCRI!D104:D105)</f>
        <v>0</v>
      </c>
      <c r="E73" s="391">
        <f>+SUM(SCRI!F104:F105)</f>
        <v>0</v>
      </c>
      <c r="F73" s="392">
        <f>+D73+E73</f>
        <v>0</v>
      </c>
      <c r="G73" s="391">
        <f>-SUM(SCRI!G104:G105)</f>
        <v>0</v>
      </c>
      <c r="H73" s="392">
        <f>+SUM(SCRI!H104:H105)</f>
        <v>0</v>
      </c>
      <c r="I73" s="393">
        <f>+H73-D73</f>
        <v>0</v>
      </c>
    </row>
    <row r="74" spans="2:9" ht="12">
      <c r="B74" s="204"/>
      <c r="C74" s="201"/>
      <c r="D74" s="391"/>
      <c r="E74" s="391"/>
      <c r="F74" s="392"/>
      <c r="G74" s="391"/>
      <c r="H74" s="392"/>
      <c r="I74" s="393"/>
    </row>
    <row r="75" spans="2:9" ht="12">
      <c r="B75" s="236" t="s">
        <v>487</v>
      </c>
      <c r="C75" s="203"/>
      <c r="D75" s="382">
        <f>+D46+D70+D72</f>
        <v>7002457993</v>
      </c>
      <c r="E75" s="382">
        <f>+E46+E70+E72</f>
        <v>137534261.34</v>
      </c>
      <c r="F75" s="383">
        <f>+F46+F70+F72</f>
        <v>7139992254.34</v>
      </c>
      <c r="G75" s="382">
        <f>+G46+G70+G72</f>
        <v>3866855642.1</v>
      </c>
      <c r="H75" s="383">
        <f>+H46+H70+H72</f>
        <v>759958897.8199999</v>
      </c>
      <c r="I75" s="384">
        <f>+H75-D75</f>
        <v>-6242499095.18</v>
      </c>
    </row>
    <row r="76" spans="2:9" ht="12">
      <c r="B76" s="204"/>
      <c r="C76" s="201"/>
      <c r="D76" s="391"/>
      <c r="E76" s="391"/>
      <c r="F76" s="392"/>
      <c r="G76" s="391"/>
      <c r="H76" s="392"/>
      <c r="I76" s="393"/>
    </row>
    <row r="77" spans="2:9" ht="12">
      <c r="B77" s="236" t="s">
        <v>488</v>
      </c>
      <c r="C77" s="203"/>
      <c r="D77" s="391"/>
      <c r="E77" s="391"/>
      <c r="F77" s="392"/>
      <c r="G77" s="391"/>
      <c r="H77" s="392"/>
      <c r="I77" s="393"/>
    </row>
    <row r="78" spans="2:9" ht="23.25" customHeight="1">
      <c r="B78" s="694" t="s">
        <v>489</v>
      </c>
      <c r="C78" s="695"/>
      <c r="D78" s="368"/>
      <c r="E78" s="368"/>
      <c r="F78" s="369"/>
      <c r="G78" s="368"/>
      <c r="H78" s="369"/>
      <c r="I78" s="370"/>
    </row>
    <row r="79" spans="2:9" ht="22.5" customHeight="1">
      <c r="B79" s="694" t="s">
        <v>490</v>
      </c>
      <c r="C79" s="695"/>
      <c r="D79" s="368"/>
      <c r="E79" s="368"/>
      <c r="F79" s="369"/>
      <c r="G79" s="368"/>
      <c r="H79" s="369"/>
      <c r="I79" s="370"/>
    </row>
    <row r="80" spans="2:9" ht="24" customHeight="1">
      <c r="B80" s="699" t="s">
        <v>491</v>
      </c>
      <c r="C80" s="700"/>
      <c r="D80" s="382">
        <f aca="true" t="shared" si="14" ref="D80:I80">+D78+D79</f>
        <v>0</v>
      </c>
      <c r="E80" s="382">
        <f t="shared" si="14"/>
        <v>0</v>
      </c>
      <c r="F80" s="382">
        <f t="shared" si="14"/>
        <v>0</v>
      </c>
      <c r="G80" s="382">
        <f t="shared" si="14"/>
        <v>0</v>
      </c>
      <c r="H80" s="383">
        <f t="shared" si="14"/>
        <v>0</v>
      </c>
      <c r="I80" s="384">
        <f t="shared" si="14"/>
        <v>0</v>
      </c>
    </row>
    <row r="81" spans="2:9" ht="12">
      <c r="B81" s="237"/>
      <c r="C81" s="239"/>
      <c r="D81" s="385"/>
      <c r="E81" s="385"/>
      <c r="F81" s="386"/>
      <c r="G81" s="387"/>
      <c r="H81" s="386"/>
      <c r="I81" s="387"/>
    </row>
    <row r="82" spans="2:9" ht="12">
      <c r="B82" s="693" t="s">
        <v>149</v>
      </c>
      <c r="C82" s="693"/>
      <c r="D82" s="693"/>
      <c r="E82" s="693"/>
      <c r="F82" s="693"/>
      <c r="G82" s="693"/>
      <c r="H82" s="693"/>
      <c r="I82" s="324"/>
    </row>
    <row r="83" spans="2:9" ht="12">
      <c r="B83" s="693"/>
      <c r="C83" s="693"/>
      <c r="D83" s="693"/>
      <c r="E83" s="693"/>
      <c r="F83" s="693"/>
      <c r="G83" s="693"/>
      <c r="H83" s="693"/>
      <c r="I83" s="324"/>
    </row>
    <row r="84" spans="2:9" ht="12">
      <c r="B84" s="200"/>
      <c r="C84" s="200"/>
      <c r="D84" s="324"/>
      <c r="E84" s="324"/>
      <c r="F84" s="324"/>
      <c r="G84" s="324"/>
      <c r="H84" s="324"/>
      <c r="I84" s="324"/>
    </row>
    <row r="85" spans="2:9" ht="12">
      <c r="B85" s="200"/>
      <c r="C85" s="200"/>
      <c r="D85" s="324"/>
      <c r="E85" s="324"/>
      <c r="F85" s="324"/>
      <c r="G85" s="324"/>
      <c r="H85" s="324"/>
      <c r="I85" s="324"/>
    </row>
    <row r="86" spans="2:9" ht="12">
      <c r="B86" s="200"/>
      <c r="C86" s="200"/>
      <c r="D86" s="324"/>
      <c r="E86" s="324"/>
      <c r="F86" s="324"/>
      <c r="G86" s="324"/>
      <c r="H86" s="324"/>
      <c r="I86" s="324"/>
    </row>
    <row r="87" spans="2:9" ht="12">
      <c r="B87" s="200"/>
      <c r="C87" s="200"/>
      <c r="D87" s="324"/>
      <c r="E87" s="324"/>
      <c r="F87" s="324"/>
      <c r="G87" s="324"/>
      <c r="H87" s="324"/>
      <c r="I87" s="324"/>
    </row>
    <row r="88" spans="2:9" ht="12">
      <c r="B88" s="305"/>
      <c r="C88" s="305"/>
      <c r="D88" s="325"/>
      <c r="E88" s="325"/>
      <c r="F88" s="325"/>
      <c r="G88" s="325"/>
      <c r="H88" s="325"/>
      <c r="I88" s="325"/>
    </row>
    <row r="89" spans="2:9" ht="12">
      <c r="B89" s="305"/>
      <c r="C89" s="306"/>
      <c r="D89" s="326"/>
      <c r="E89" s="326"/>
      <c r="F89" s="325"/>
      <c r="G89" s="326"/>
      <c r="H89" s="326"/>
      <c r="I89" s="326"/>
    </row>
    <row r="90" spans="2:9" ht="12">
      <c r="B90" s="305"/>
      <c r="C90" s="701" t="str">
        <f>+ENTE!D10</f>
        <v>ING. ENRIQUE DE ECHAVARRI LARY</v>
      </c>
      <c r="D90" s="701"/>
      <c r="E90" s="701"/>
      <c r="F90" s="325"/>
      <c r="G90" s="698" t="str">
        <f>+ENTE!D14</f>
        <v>LIC. RICARDO SALVADOR BACA MUÑOZ</v>
      </c>
      <c r="H90" s="698"/>
      <c r="I90" s="698"/>
    </row>
    <row r="91" spans="2:9" ht="12">
      <c r="B91" s="305"/>
      <c r="C91" s="696" t="str">
        <f>+ENTE!D12</f>
        <v>COORDINADOR GENERAL </v>
      </c>
      <c r="D91" s="696"/>
      <c r="E91" s="696"/>
      <c r="F91" s="325"/>
      <c r="G91" s="697" t="str">
        <f>+ENTE!D16</f>
        <v>DIRECTOR DE ADMINISTRACION</v>
      </c>
      <c r="H91" s="697"/>
      <c r="I91" s="697"/>
    </row>
    <row r="92" spans="2:9" ht="12">
      <c r="B92" s="305"/>
      <c r="C92" s="305"/>
      <c r="D92" s="325"/>
      <c r="E92" s="325"/>
      <c r="F92" s="325"/>
      <c r="G92" s="325"/>
      <c r="H92" s="325"/>
      <c r="I92" s="325"/>
    </row>
  </sheetData>
  <sheetProtection sheet="1" objects="1" scenarios="1" selectLockedCells="1"/>
  <mergeCells count="30">
    <mergeCell ref="B27:C27"/>
    <mergeCell ref="B33:C33"/>
    <mergeCell ref="B34:C34"/>
    <mergeCell ref="B51:C51"/>
    <mergeCell ref="B54:C54"/>
    <mergeCell ref="B24:C24"/>
    <mergeCell ref="B25:C25"/>
    <mergeCell ref="B46:C46"/>
    <mergeCell ref="B2:I2"/>
    <mergeCell ref="B3:I3"/>
    <mergeCell ref="B4:I4"/>
    <mergeCell ref="B5:I5"/>
    <mergeCell ref="D9:I9"/>
    <mergeCell ref="B9:C10"/>
    <mergeCell ref="C7:G7"/>
    <mergeCell ref="C91:E91"/>
    <mergeCell ref="G91:I91"/>
    <mergeCell ref="G90:I90"/>
    <mergeCell ref="B78:C78"/>
    <mergeCell ref="B79:C79"/>
    <mergeCell ref="B80:C80"/>
    <mergeCell ref="B83:H83"/>
    <mergeCell ref="C90:E90"/>
    <mergeCell ref="B56:C56"/>
    <mergeCell ref="B57:C57"/>
    <mergeCell ref="B58:C58"/>
    <mergeCell ref="B60:C60"/>
    <mergeCell ref="B82:H82"/>
    <mergeCell ref="B65:C65"/>
    <mergeCell ref="B67:C67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portrait" scale="61" r:id="rId2"/>
  <headerFooter>
    <oddFooter>&amp;C&amp;A&amp;RPágina &amp;P</oddFooter>
  </headerFooter>
  <ignoredErrors>
    <ignoredError sqref="F34:F40 F42:F43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1"/>
  <sheetViews>
    <sheetView showGridLines="0" showOutlineSymbols="0" view="pageBreakPreview" zoomScaleSheetLayoutView="100" zoomScalePageLayoutView="130" workbookViewId="0" topLeftCell="A1">
      <selection activeCell="H40" sqref="H40"/>
    </sheetView>
  </sheetViews>
  <sheetFormatPr defaultColWidth="11.421875" defaultRowHeight="15"/>
  <cols>
    <col min="1" max="1" width="1.28515625" style="3" customWidth="1"/>
    <col min="2" max="2" width="11.421875" style="3" customWidth="1"/>
    <col min="3" max="3" width="55.00390625" style="3" customWidth="1"/>
    <col min="4" max="4" width="16.57421875" style="3" bestFit="1" customWidth="1"/>
    <col min="5" max="5" width="17.7109375" style="3" bestFit="1" customWidth="1"/>
    <col min="6" max="6" width="24.7109375" style="3" bestFit="1" customWidth="1"/>
    <col min="7" max="8" width="17.7109375" style="3" bestFit="1" customWidth="1"/>
    <col min="9" max="9" width="14.57421875" style="3" customWidth="1"/>
    <col min="10" max="10" width="15.00390625" style="3" customWidth="1"/>
    <col min="11" max="11" width="1.28515625" style="3" customWidth="1"/>
    <col min="12" max="16384" width="11.421875" style="3" customWidth="1"/>
  </cols>
  <sheetData>
    <row r="1" spans="3:11" s="2" customFormat="1" ht="12">
      <c r="C1" s="178"/>
      <c r="D1" s="178"/>
      <c r="E1" s="178"/>
      <c r="F1" s="178"/>
      <c r="G1" s="178"/>
      <c r="H1" s="178"/>
      <c r="I1" s="178"/>
      <c r="J1" s="178"/>
      <c r="K1" s="178"/>
    </row>
    <row r="2" spans="3:11" s="2" customFormat="1" ht="12">
      <c r="C2" s="712" t="s">
        <v>369</v>
      </c>
      <c r="D2" s="712"/>
      <c r="E2" s="712"/>
      <c r="F2" s="712"/>
      <c r="G2" s="712"/>
      <c r="H2" s="712"/>
      <c r="I2" s="281"/>
      <c r="J2" s="281"/>
      <c r="K2" s="281"/>
    </row>
    <row r="3" spans="3:8" s="2" customFormat="1" ht="12">
      <c r="C3" s="678" t="str">
        <f>"Del 1 de enero al "&amp;TEXT(INDEX(Periodos,ENTE!D18,1),"dd")&amp;" de "&amp;TEXT(INDEX(Periodos,ENTE!D18,1),"mmmm")&amp;" de "&amp;TEXT(INDEX(Periodos,ENTE!D18,1),"aaaa")&amp;""</f>
        <v>Del 1 de enero al 30 de septiembre de 2017</v>
      </c>
      <c r="D3" s="678"/>
      <c r="E3" s="678"/>
      <c r="F3" s="678"/>
      <c r="G3" s="678"/>
      <c r="H3" s="678"/>
    </row>
    <row r="4" spans="3:8" s="2" customFormat="1" ht="12">
      <c r="C4" s="678" t="s">
        <v>92</v>
      </c>
      <c r="D4" s="678"/>
      <c r="E4" s="678"/>
      <c r="F4" s="678"/>
      <c r="G4" s="678"/>
      <c r="H4" s="678"/>
    </row>
    <row r="5" spans="3:8" s="2" customFormat="1" ht="12">
      <c r="C5" s="5"/>
      <c r="E5" s="6"/>
      <c r="F5" s="6"/>
      <c r="G5" s="6"/>
      <c r="H5" s="7"/>
    </row>
    <row r="6" spans="2:10" s="2" customFormat="1" ht="12">
      <c r="B6" s="4" t="s">
        <v>4</v>
      </c>
      <c r="C6" s="679" t="str">
        <f>ENTE!D8</f>
        <v>UNIDAD DE SERVICIOS PARA LA EDUCACION BASICA EN EL ESTADO DE QUERETARO</v>
      </c>
      <c r="D6" s="679"/>
      <c r="E6" s="679"/>
      <c r="F6" s="679"/>
      <c r="G6" s="679"/>
      <c r="H6" s="679"/>
      <c r="I6" s="679"/>
      <c r="J6" s="679"/>
    </row>
    <row r="7" spans="3:8" s="2" customFormat="1" ht="12">
      <c r="C7" s="5"/>
      <c r="E7" s="6"/>
      <c r="F7" s="6"/>
      <c r="G7" s="6"/>
      <c r="H7" s="7"/>
    </row>
    <row r="8" spans="2:10" s="2" customFormat="1" ht="12">
      <c r="B8" s="676" t="s">
        <v>369</v>
      </c>
      <c r="C8" s="676"/>
      <c r="D8" s="676">
        <v>2017</v>
      </c>
      <c r="E8" s="676"/>
      <c r="F8" s="676"/>
      <c r="G8" s="676"/>
      <c r="H8" s="676"/>
      <c r="I8" s="676"/>
      <c r="J8" s="676"/>
    </row>
    <row r="9" spans="2:10" s="2" customFormat="1" ht="28.5" customHeight="1">
      <c r="B9" s="189" t="s">
        <v>360</v>
      </c>
      <c r="C9" s="189" t="s">
        <v>361</v>
      </c>
      <c r="D9" s="189" t="s">
        <v>370</v>
      </c>
      <c r="E9" s="189" t="s">
        <v>371</v>
      </c>
      <c r="F9" s="189" t="s">
        <v>372</v>
      </c>
      <c r="G9" s="189" t="s">
        <v>373</v>
      </c>
      <c r="H9" s="189" t="s">
        <v>374</v>
      </c>
      <c r="I9" s="189" t="s">
        <v>375</v>
      </c>
      <c r="J9" s="189" t="s">
        <v>376</v>
      </c>
    </row>
    <row r="10" spans="2:10" ht="12">
      <c r="B10" s="193"/>
      <c r="C10" s="371"/>
      <c r="D10" s="188"/>
      <c r="E10" s="188"/>
      <c r="F10" s="188"/>
      <c r="G10" s="188"/>
      <c r="H10" s="188"/>
      <c r="I10" s="188"/>
      <c r="J10" s="190"/>
    </row>
    <row r="11" spans="2:10" ht="12">
      <c r="B11" s="193"/>
      <c r="C11" s="371"/>
      <c r="D11" s="188"/>
      <c r="E11" s="188"/>
      <c r="F11" s="188"/>
      <c r="G11" s="188"/>
      <c r="H11" s="188"/>
      <c r="I11" s="188"/>
      <c r="J11" s="190"/>
    </row>
    <row r="12" spans="2:10" ht="12">
      <c r="B12" s="193"/>
      <c r="C12" s="372" t="s">
        <v>755</v>
      </c>
      <c r="D12" s="188"/>
      <c r="E12" s="188"/>
      <c r="F12" s="188"/>
      <c r="G12" s="188"/>
      <c r="H12" s="188"/>
      <c r="I12" s="188"/>
      <c r="J12" s="190"/>
    </row>
    <row r="13" spans="2:10" ht="12">
      <c r="B13" s="193"/>
      <c r="C13" s="371" t="s">
        <v>799</v>
      </c>
      <c r="D13" s="188">
        <v>-500000</v>
      </c>
      <c r="E13" s="188"/>
      <c r="F13" s="188">
        <v>500000</v>
      </c>
      <c r="G13" s="188"/>
      <c r="H13" s="188"/>
      <c r="I13" s="188"/>
      <c r="J13" s="190">
        <v>0</v>
      </c>
    </row>
    <row r="14" spans="2:10" ht="12">
      <c r="B14" s="193"/>
      <c r="C14" s="371" t="s">
        <v>816</v>
      </c>
      <c r="D14" s="188"/>
      <c r="E14" s="188"/>
      <c r="F14" s="188">
        <v>-179333.33</v>
      </c>
      <c r="G14" s="188"/>
      <c r="H14" s="188"/>
      <c r="I14" s="188"/>
      <c r="J14" s="190">
        <v>179333.33000000002</v>
      </c>
    </row>
    <row r="15" spans="2:10" ht="12">
      <c r="B15" s="193"/>
      <c r="C15" s="371" t="s">
        <v>817</v>
      </c>
      <c r="D15" s="188"/>
      <c r="E15" s="188"/>
      <c r="F15" s="188">
        <v>0</v>
      </c>
      <c r="G15" s="188"/>
      <c r="H15" s="188"/>
      <c r="I15" s="188"/>
      <c r="J15" s="190">
        <v>0</v>
      </c>
    </row>
    <row r="16" spans="2:10" ht="12">
      <c r="B16" s="193"/>
      <c r="C16" s="371" t="s">
        <v>818</v>
      </c>
      <c r="D16" s="188"/>
      <c r="E16" s="188"/>
      <c r="F16" s="188">
        <v>-27492</v>
      </c>
      <c r="G16" s="188"/>
      <c r="H16" s="188"/>
      <c r="I16" s="188"/>
      <c r="J16" s="190">
        <v>0</v>
      </c>
    </row>
    <row r="17" spans="2:10" ht="12">
      <c r="B17" s="193"/>
      <c r="C17" s="371" t="s">
        <v>819</v>
      </c>
      <c r="D17" s="188">
        <v>-1000000</v>
      </c>
      <c r="E17" s="188"/>
      <c r="F17" s="188">
        <v>413329.62</v>
      </c>
      <c r="G17" s="188"/>
      <c r="H17" s="188"/>
      <c r="I17" s="188"/>
      <c r="J17" s="190">
        <v>318562.2199999999</v>
      </c>
    </row>
    <row r="18" spans="2:10" ht="12">
      <c r="B18" s="193"/>
      <c r="C18" s="371" t="s">
        <v>820</v>
      </c>
      <c r="D18" s="188"/>
      <c r="E18" s="188"/>
      <c r="F18" s="188">
        <v>-730000</v>
      </c>
      <c r="G18" s="188"/>
      <c r="H18" s="188"/>
      <c r="I18" s="188"/>
      <c r="J18" s="190">
        <v>0</v>
      </c>
    </row>
    <row r="19" spans="2:10" ht="12">
      <c r="B19" s="193"/>
      <c r="C19" s="371" t="s">
        <v>821</v>
      </c>
      <c r="D19" s="188"/>
      <c r="E19" s="188"/>
      <c r="F19" s="188">
        <v>-361190.59</v>
      </c>
      <c r="G19" s="188"/>
      <c r="H19" s="188"/>
      <c r="I19" s="188"/>
      <c r="J19" s="190">
        <v>361190.58</v>
      </c>
    </row>
    <row r="20" spans="2:10" ht="12">
      <c r="B20" s="193"/>
      <c r="C20" s="371" t="s">
        <v>822</v>
      </c>
      <c r="D20" s="188">
        <v>-500000</v>
      </c>
      <c r="E20" s="188"/>
      <c r="F20" s="188">
        <v>164601.34</v>
      </c>
      <c r="G20" s="188"/>
      <c r="H20" s="188"/>
      <c r="I20" s="188"/>
      <c r="J20" s="190">
        <v>330243.3</v>
      </c>
    </row>
    <row r="21" spans="2:10" ht="12">
      <c r="B21" s="193"/>
      <c r="C21" s="372"/>
      <c r="D21" s="188"/>
      <c r="E21" s="188"/>
      <c r="F21" s="188"/>
      <c r="G21" s="188"/>
      <c r="H21" s="188"/>
      <c r="I21" s="188"/>
      <c r="J21" s="190"/>
    </row>
    <row r="22" spans="2:10" ht="12">
      <c r="B22" s="193"/>
      <c r="C22" s="373"/>
      <c r="D22" s="188"/>
      <c r="E22" s="188"/>
      <c r="F22" s="188"/>
      <c r="G22" s="188"/>
      <c r="H22" s="188"/>
      <c r="I22" s="188"/>
      <c r="J22" s="190"/>
    </row>
    <row r="23" spans="2:10" ht="12">
      <c r="B23" s="193"/>
      <c r="C23" s="372" t="s">
        <v>754</v>
      </c>
      <c r="D23" s="188"/>
      <c r="E23" s="188"/>
      <c r="F23" s="188"/>
      <c r="G23" s="188"/>
      <c r="H23" s="188"/>
      <c r="I23" s="188"/>
      <c r="J23" s="190"/>
    </row>
    <row r="24" spans="2:10" ht="12">
      <c r="B24" s="193"/>
      <c r="C24" s="371" t="s">
        <v>799</v>
      </c>
      <c r="D24" s="188">
        <v>-12431001</v>
      </c>
      <c r="E24" s="188"/>
      <c r="F24" s="188">
        <v>1445448.53</v>
      </c>
      <c r="G24" s="188"/>
      <c r="H24" s="188">
        <v>66169.46</v>
      </c>
      <c r="I24" s="188">
        <v>1116583.51</v>
      </c>
      <c r="J24" s="190">
        <v>5580002.080000001</v>
      </c>
    </row>
    <row r="25" spans="2:10" ht="12">
      <c r="B25" s="193"/>
      <c r="C25" s="371" t="s">
        <v>800</v>
      </c>
      <c r="D25" s="188">
        <v>-9641957</v>
      </c>
      <c r="E25" s="188"/>
      <c r="F25" s="188">
        <v>326821.57</v>
      </c>
      <c r="G25" s="188"/>
      <c r="H25" s="188">
        <v>0</v>
      </c>
      <c r="I25" s="188">
        <v>2283202.2400000007</v>
      </c>
      <c r="J25" s="190">
        <v>3332488.9899999998</v>
      </c>
    </row>
    <row r="26" spans="2:10" ht="12">
      <c r="B26" s="193"/>
      <c r="C26" s="371" t="s">
        <v>801</v>
      </c>
      <c r="D26" s="188">
        <v>-5004426</v>
      </c>
      <c r="E26" s="188"/>
      <c r="F26" s="188">
        <v>439429.29</v>
      </c>
      <c r="G26" s="188"/>
      <c r="H26" s="188">
        <v>31679.6</v>
      </c>
      <c r="I26" s="188">
        <v>992226.5500000003</v>
      </c>
      <c r="J26" s="190">
        <v>1928042.3900000004</v>
      </c>
    </row>
    <row r="27" spans="2:10" ht="12">
      <c r="B27" s="193"/>
      <c r="C27" s="371" t="s">
        <v>802</v>
      </c>
      <c r="D27" s="188">
        <v>-20828986</v>
      </c>
      <c r="E27" s="188"/>
      <c r="F27" s="188">
        <v>-316245.6</v>
      </c>
      <c r="G27" s="188"/>
      <c r="H27" s="188">
        <v>1136750.44</v>
      </c>
      <c r="I27" s="188">
        <v>3696989.13</v>
      </c>
      <c r="J27" s="190">
        <v>6701046.370000005</v>
      </c>
    </row>
    <row r="28" spans="2:10" ht="12">
      <c r="B28" s="193"/>
      <c r="C28" s="371" t="s">
        <v>803</v>
      </c>
      <c r="D28" s="188">
        <v>-19937833</v>
      </c>
      <c r="E28" s="188"/>
      <c r="F28" s="188">
        <v>-4317511.31</v>
      </c>
      <c r="G28" s="188"/>
      <c r="H28" s="188">
        <v>67607</v>
      </c>
      <c r="I28" s="188">
        <v>1927924.5099999995</v>
      </c>
      <c r="J28" s="190">
        <v>20442966.21000001</v>
      </c>
    </row>
    <row r="29" spans="2:10" ht="12">
      <c r="B29" s="193"/>
      <c r="C29" s="371" t="s">
        <v>804</v>
      </c>
      <c r="D29" s="188">
        <v>-6227862</v>
      </c>
      <c r="E29" s="188"/>
      <c r="F29" s="188">
        <v>-117411268.24</v>
      </c>
      <c r="G29" s="188"/>
      <c r="H29" s="188">
        <v>17331.63</v>
      </c>
      <c r="I29" s="188">
        <v>1186602.1899999967</v>
      </c>
      <c r="J29" s="190">
        <v>120306986.73000005</v>
      </c>
    </row>
    <row r="30" spans="2:10" ht="12">
      <c r="B30" s="193"/>
      <c r="C30" s="371" t="s">
        <v>805</v>
      </c>
      <c r="D30" s="188">
        <v>-796050214</v>
      </c>
      <c r="E30" s="188"/>
      <c r="F30" s="188">
        <v>101155038.54</v>
      </c>
      <c r="G30" s="188"/>
      <c r="H30" s="188">
        <v>2029.99</v>
      </c>
      <c r="I30" s="188">
        <v>399724830.3000004</v>
      </c>
      <c r="J30" s="190">
        <v>20197375.79999999</v>
      </c>
    </row>
    <row r="31" spans="2:10" ht="12">
      <c r="B31" s="193"/>
      <c r="C31" s="371" t="s">
        <v>806</v>
      </c>
      <c r="D31" s="188">
        <v>-1974789315</v>
      </c>
      <c r="E31" s="188"/>
      <c r="F31" s="188">
        <v>263531063.71</v>
      </c>
      <c r="G31" s="188"/>
      <c r="H31" s="188">
        <v>58802.97</v>
      </c>
      <c r="I31" s="188">
        <v>970026714.69</v>
      </c>
      <c r="J31" s="190">
        <v>86954081.85999998</v>
      </c>
    </row>
    <row r="32" spans="2:10" ht="12">
      <c r="B32" s="193"/>
      <c r="C32" s="371" t="s">
        <v>807</v>
      </c>
      <c r="D32" s="188">
        <v>-1993244944</v>
      </c>
      <c r="E32" s="188"/>
      <c r="F32" s="188">
        <v>253923349.95</v>
      </c>
      <c r="G32" s="188"/>
      <c r="H32" s="188">
        <v>53977.50000000001</v>
      </c>
      <c r="I32" s="188">
        <v>979235908.26</v>
      </c>
      <c r="J32" s="190">
        <v>76823662.42</v>
      </c>
    </row>
    <row r="33" spans="2:10" ht="12">
      <c r="B33" s="193"/>
      <c r="C33" s="371" t="s">
        <v>808</v>
      </c>
      <c r="D33" s="188">
        <v>-714290917</v>
      </c>
      <c r="E33" s="188"/>
      <c r="F33" s="188">
        <v>75061196.85</v>
      </c>
      <c r="G33" s="188"/>
      <c r="H33" s="188">
        <v>3051635.6900000004</v>
      </c>
      <c r="I33" s="188">
        <v>292379427.68000007</v>
      </c>
      <c r="J33" s="190">
        <v>66989548.52999997</v>
      </c>
    </row>
    <row r="34" spans="2:10" ht="12">
      <c r="B34" s="193"/>
      <c r="C34" s="371" t="s">
        <v>809</v>
      </c>
      <c r="D34" s="188">
        <v>-17957352</v>
      </c>
      <c r="E34" s="188"/>
      <c r="F34" s="188">
        <v>-3065665.29</v>
      </c>
      <c r="G34" s="188"/>
      <c r="H34" s="188">
        <v>254220.40000000037</v>
      </c>
      <c r="I34" s="188">
        <v>3097380.479999999</v>
      </c>
      <c r="J34" s="190">
        <v>9225820.300000003</v>
      </c>
    </row>
    <row r="35" spans="2:10" ht="12">
      <c r="B35" s="193"/>
      <c r="C35" s="371" t="s">
        <v>810</v>
      </c>
      <c r="D35" s="188">
        <v>-45559693</v>
      </c>
      <c r="E35" s="188"/>
      <c r="F35" s="188">
        <v>-1229334.1</v>
      </c>
      <c r="G35" s="188"/>
      <c r="H35" s="188">
        <v>236620.42</v>
      </c>
      <c r="I35" s="188">
        <v>13680485.350000009</v>
      </c>
      <c r="J35" s="190">
        <v>10056016.37999999</v>
      </c>
    </row>
    <row r="36" spans="2:10" ht="12">
      <c r="B36" s="193"/>
      <c r="C36" s="371" t="s">
        <v>811</v>
      </c>
      <c r="D36" s="188">
        <v>-8371820</v>
      </c>
      <c r="E36" s="188"/>
      <c r="F36" s="188">
        <v>-29662.62</v>
      </c>
      <c r="G36" s="188"/>
      <c r="H36" s="188">
        <v>0</v>
      </c>
      <c r="I36" s="188">
        <v>3184881.5900000012</v>
      </c>
      <c r="J36" s="190">
        <v>1981961.09</v>
      </c>
    </row>
    <row r="37" spans="2:10" ht="12">
      <c r="B37" s="193"/>
      <c r="C37" s="371" t="s">
        <v>812</v>
      </c>
      <c r="D37" s="188">
        <v>-1213746388</v>
      </c>
      <c r="E37" s="188"/>
      <c r="F37" s="188">
        <v>37671332.27</v>
      </c>
      <c r="G37" s="188"/>
      <c r="H37" s="188">
        <v>201932.99999999994</v>
      </c>
      <c r="I37" s="188">
        <v>408372496.58999985</v>
      </c>
      <c r="J37" s="190">
        <v>200810178.62000006</v>
      </c>
    </row>
    <row r="38" spans="2:10" ht="12">
      <c r="B38" s="193"/>
      <c r="C38" s="371" t="s">
        <v>813</v>
      </c>
      <c r="D38" s="188">
        <v>-121676627</v>
      </c>
      <c r="E38" s="188"/>
      <c r="F38" s="188">
        <v>-763032593.79</v>
      </c>
      <c r="G38" s="188"/>
      <c r="H38" s="188">
        <v>4622246.8100000005</v>
      </c>
      <c r="I38" s="188">
        <v>36040248.73000002</v>
      </c>
      <c r="J38" s="190">
        <v>55725121.019999966</v>
      </c>
    </row>
    <row r="39" spans="2:10" ht="12">
      <c r="B39" s="193"/>
      <c r="C39" s="371" t="s">
        <v>814</v>
      </c>
      <c r="D39" s="188">
        <v>-10625839</v>
      </c>
      <c r="E39" s="188"/>
      <c r="F39" s="188">
        <v>-5833047.53</v>
      </c>
      <c r="G39" s="188"/>
      <c r="H39" s="188">
        <v>7.275957614183426E-12</v>
      </c>
      <c r="I39" s="188">
        <v>1355968.8300000003</v>
      </c>
      <c r="J39" s="190">
        <v>9014766.59</v>
      </c>
    </row>
    <row r="40" spans="2:10" ht="12">
      <c r="B40" s="193"/>
      <c r="C40" s="371" t="s">
        <v>815</v>
      </c>
      <c r="D40" s="188">
        <v>-30072819</v>
      </c>
      <c r="E40" s="188"/>
      <c r="F40" s="188">
        <v>4934071.53</v>
      </c>
      <c r="G40" s="188"/>
      <c r="H40" s="188">
        <v>257976.38999999966</v>
      </c>
      <c r="I40" s="188">
        <v>3939608.139999999</v>
      </c>
      <c r="J40" s="190">
        <v>13602908.95</v>
      </c>
    </row>
    <row r="41" spans="2:10" ht="12">
      <c r="B41" s="193"/>
      <c r="C41" s="371"/>
      <c r="D41" s="188"/>
      <c r="E41" s="188"/>
      <c r="F41" s="188"/>
      <c r="G41" s="188"/>
      <c r="H41" s="188"/>
      <c r="I41" s="188"/>
      <c r="J41" s="190"/>
    </row>
    <row r="42" spans="2:10" ht="12">
      <c r="B42" s="193"/>
      <c r="C42" s="371"/>
      <c r="D42" s="188"/>
      <c r="E42" s="188"/>
      <c r="F42" s="188"/>
      <c r="G42" s="188"/>
      <c r="H42" s="188"/>
      <c r="I42" s="188"/>
      <c r="J42" s="190"/>
    </row>
    <row r="43" spans="2:10" ht="12">
      <c r="B43" s="193"/>
      <c r="C43" s="371"/>
      <c r="D43" s="188"/>
      <c r="E43" s="188"/>
      <c r="F43" s="188"/>
      <c r="G43" s="188"/>
      <c r="H43" s="188"/>
      <c r="I43" s="188"/>
      <c r="J43" s="190"/>
    </row>
    <row r="44" spans="2:10" ht="12">
      <c r="B44" s="193"/>
      <c r="C44" s="371"/>
      <c r="D44" s="188"/>
      <c r="E44" s="188"/>
      <c r="F44" s="188"/>
      <c r="G44" s="188"/>
      <c r="H44" s="188"/>
      <c r="I44" s="188"/>
      <c r="J44" s="190"/>
    </row>
    <row r="45" spans="2:10" ht="12">
      <c r="B45" s="193"/>
      <c r="C45" s="371"/>
      <c r="D45" s="188"/>
      <c r="E45" s="188"/>
      <c r="F45" s="188"/>
      <c r="G45" s="188"/>
      <c r="H45" s="188"/>
      <c r="I45" s="188"/>
      <c r="J45" s="190"/>
    </row>
    <row r="46" spans="2:10" ht="12">
      <c r="B46" s="193"/>
      <c r="C46" s="371"/>
      <c r="D46" s="188"/>
      <c r="E46" s="188"/>
      <c r="F46" s="188"/>
      <c r="G46" s="188"/>
      <c r="H46" s="188"/>
      <c r="I46" s="188"/>
      <c r="J46" s="190"/>
    </row>
    <row r="47" spans="2:10" ht="12">
      <c r="B47" s="193"/>
      <c r="C47" s="371"/>
      <c r="D47" s="188"/>
      <c r="E47" s="188"/>
      <c r="F47" s="188"/>
      <c r="G47" s="188"/>
      <c r="H47" s="188"/>
      <c r="I47" s="188"/>
      <c r="J47" s="190"/>
    </row>
    <row r="48" spans="2:10" ht="12">
      <c r="B48" s="193"/>
      <c r="C48" s="371"/>
      <c r="D48" s="188"/>
      <c r="E48" s="188"/>
      <c r="F48" s="188"/>
      <c r="G48" s="188"/>
      <c r="H48" s="188"/>
      <c r="I48" s="188"/>
      <c r="J48" s="190"/>
    </row>
    <row r="49" spans="2:10" ht="12">
      <c r="B49" s="193"/>
      <c r="C49" s="371"/>
      <c r="D49" s="188"/>
      <c r="E49" s="188"/>
      <c r="F49" s="188"/>
      <c r="G49" s="188"/>
      <c r="H49" s="188"/>
      <c r="I49" s="188"/>
      <c r="J49" s="190"/>
    </row>
    <row r="50" spans="2:10" ht="12">
      <c r="B50" s="193"/>
      <c r="C50" s="371"/>
      <c r="D50" s="188"/>
      <c r="E50" s="188"/>
      <c r="F50" s="188"/>
      <c r="G50" s="188"/>
      <c r="H50" s="188"/>
      <c r="I50" s="188"/>
      <c r="J50" s="190"/>
    </row>
    <row r="51" spans="2:10" ht="12">
      <c r="B51" s="193"/>
      <c r="C51" s="371"/>
      <c r="D51" s="188"/>
      <c r="E51" s="188"/>
      <c r="F51" s="188"/>
      <c r="G51" s="188"/>
      <c r="H51" s="188"/>
      <c r="I51" s="188"/>
      <c r="J51" s="190"/>
    </row>
    <row r="52" spans="2:10" ht="12">
      <c r="B52" s="193"/>
      <c r="C52" s="371"/>
      <c r="D52" s="188"/>
      <c r="E52" s="188"/>
      <c r="F52" s="188"/>
      <c r="G52" s="188"/>
      <c r="H52" s="188"/>
      <c r="I52" s="188"/>
      <c r="J52" s="190"/>
    </row>
    <row r="53" spans="2:10" ht="12">
      <c r="B53" s="193"/>
      <c r="C53" s="371"/>
      <c r="D53" s="188"/>
      <c r="E53" s="188"/>
      <c r="F53" s="188"/>
      <c r="G53" s="188"/>
      <c r="H53" s="188"/>
      <c r="I53" s="188"/>
      <c r="J53" s="190"/>
    </row>
    <row r="54" spans="2:10" ht="12">
      <c r="B54" s="193"/>
      <c r="C54" s="371"/>
      <c r="D54" s="188"/>
      <c r="E54" s="188"/>
      <c r="F54" s="188"/>
      <c r="G54" s="188"/>
      <c r="H54" s="188"/>
      <c r="I54" s="188"/>
      <c r="J54" s="190"/>
    </row>
    <row r="55" spans="2:10" ht="12">
      <c r="B55" s="193"/>
      <c r="C55" s="371"/>
      <c r="D55" s="188"/>
      <c r="E55" s="188"/>
      <c r="F55" s="188"/>
      <c r="G55" s="188"/>
      <c r="H55" s="188"/>
      <c r="I55" s="188"/>
      <c r="J55" s="190"/>
    </row>
    <row r="56" spans="2:10" ht="12">
      <c r="B56" s="193"/>
      <c r="C56" s="371"/>
      <c r="D56" s="188"/>
      <c r="E56" s="188"/>
      <c r="F56" s="188"/>
      <c r="G56" s="188"/>
      <c r="H56" s="188"/>
      <c r="I56" s="188"/>
      <c r="J56" s="190"/>
    </row>
    <row r="57" spans="2:10" ht="12">
      <c r="B57" s="193"/>
      <c r="C57" s="371"/>
      <c r="D57" s="188"/>
      <c r="E57" s="188"/>
      <c r="F57" s="188"/>
      <c r="G57" s="188"/>
      <c r="H57" s="188"/>
      <c r="I57" s="188"/>
      <c r="J57" s="190"/>
    </row>
    <row r="58" spans="2:10" ht="12">
      <c r="B58" s="193"/>
      <c r="C58" s="371"/>
      <c r="D58" s="188"/>
      <c r="E58" s="188"/>
      <c r="F58" s="188"/>
      <c r="G58" s="188"/>
      <c r="H58" s="188"/>
      <c r="I58" s="188"/>
      <c r="J58" s="190"/>
    </row>
    <row r="59" spans="2:10" ht="12">
      <c r="B59" s="193"/>
      <c r="C59" s="371"/>
      <c r="D59" s="188"/>
      <c r="E59" s="188"/>
      <c r="F59" s="188"/>
      <c r="G59" s="188"/>
      <c r="H59" s="188"/>
      <c r="I59" s="188"/>
      <c r="J59" s="190"/>
    </row>
    <row r="60" spans="2:10" ht="12">
      <c r="B60" s="193"/>
      <c r="C60" s="371"/>
      <c r="D60" s="188"/>
      <c r="E60" s="188"/>
      <c r="F60" s="188"/>
      <c r="G60" s="188"/>
      <c r="H60" s="188"/>
      <c r="I60" s="188"/>
      <c r="J60" s="190"/>
    </row>
    <row r="61" spans="2:10" ht="12">
      <c r="B61" s="193"/>
      <c r="C61" s="371"/>
      <c r="D61" s="188"/>
      <c r="E61" s="188"/>
      <c r="F61" s="188"/>
      <c r="G61" s="188"/>
      <c r="H61" s="188"/>
      <c r="I61" s="188"/>
      <c r="J61" s="190"/>
    </row>
    <row r="62" spans="2:10" ht="12">
      <c r="B62" s="193"/>
      <c r="C62" s="371"/>
      <c r="D62" s="188"/>
      <c r="E62" s="188"/>
      <c r="F62" s="188"/>
      <c r="G62" s="188"/>
      <c r="H62" s="188"/>
      <c r="I62" s="188"/>
      <c r="J62" s="190"/>
    </row>
    <row r="63" spans="2:10" ht="12">
      <c r="B63" s="193"/>
      <c r="C63" s="371"/>
      <c r="D63" s="188"/>
      <c r="E63" s="188"/>
      <c r="F63" s="188"/>
      <c r="G63" s="188"/>
      <c r="H63" s="188"/>
      <c r="I63" s="188"/>
      <c r="J63" s="190"/>
    </row>
    <row r="64" spans="2:10" ht="12">
      <c r="B64" s="193"/>
      <c r="C64" s="371"/>
      <c r="D64" s="188"/>
      <c r="E64" s="188"/>
      <c r="F64" s="188"/>
      <c r="G64" s="188"/>
      <c r="H64" s="188"/>
      <c r="I64" s="188"/>
      <c r="J64" s="190"/>
    </row>
    <row r="65" spans="2:10" ht="12">
      <c r="B65" s="193"/>
      <c r="C65" s="371"/>
      <c r="D65" s="188"/>
      <c r="E65" s="188"/>
      <c r="F65" s="188"/>
      <c r="G65" s="188"/>
      <c r="H65" s="188"/>
      <c r="I65" s="188"/>
      <c r="J65" s="190"/>
    </row>
    <row r="66" spans="2:10" ht="12">
      <c r="B66" s="193"/>
      <c r="C66" s="371"/>
      <c r="D66" s="188"/>
      <c r="E66" s="188"/>
      <c r="F66" s="188"/>
      <c r="G66" s="188"/>
      <c r="H66" s="188"/>
      <c r="I66" s="188"/>
      <c r="J66" s="190"/>
    </row>
    <row r="67" spans="2:10" ht="12">
      <c r="B67" s="193"/>
      <c r="C67" s="371"/>
      <c r="D67" s="188"/>
      <c r="E67" s="188"/>
      <c r="F67" s="188"/>
      <c r="G67" s="188"/>
      <c r="H67" s="188"/>
      <c r="I67" s="188"/>
      <c r="J67" s="190"/>
    </row>
    <row r="68" spans="2:10" ht="12">
      <c r="B68" s="193"/>
      <c r="C68" s="371"/>
      <c r="D68" s="188"/>
      <c r="E68" s="188"/>
      <c r="F68" s="188"/>
      <c r="G68" s="188"/>
      <c r="H68" s="188"/>
      <c r="I68" s="188"/>
      <c r="J68" s="190"/>
    </row>
    <row r="69" spans="2:10" ht="12">
      <c r="B69" s="193"/>
      <c r="C69" s="371"/>
      <c r="D69" s="188"/>
      <c r="E69" s="188"/>
      <c r="F69" s="188"/>
      <c r="G69" s="188"/>
      <c r="H69" s="188"/>
      <c r="I69" s="188"/>
      <c r="J69" s="190"/>
    </row>
    <row r="70" spans="2:10" ht="12">
      <c r="B70" s="193"/>
      <c r="C70" s="371"/>
      <c r="D70" s="188"/>
      <c r="E70" s="188"/>
      <c r="F70" s="188"/>
      <c r="G70" s="188"/>
      <c r="H70" s="188"/>
      <c r="I70" s="188"/>
      <c r="J70" s="190"/>
    </row>
    <row r="71" spans="2:10" ht="12">
      <c r="B71" s="193"/>
      <c r="C71" s="371"/>
      <c r="D71" s="188"/>
      <c r="E71" s="188"/>
      <c r="F71" s="188"/>
      <c r="G71" s="188"/>
      <c r="H71" s="188"/>
      <c r="I71" s="188"/>
      <c r="J71" s="190"/>
    </row>
    <row r="72" spans="2:10" ht="12">
      <c r="B72" s="193"/>
      <c r="C72" s="371"/>
      <c r="D72" s="188"/>
      <c r="E72" s="188"/>
      <c r="F72" s="188"/>
      <c r="G72" s="188"/>
      <c r="H72" s="188"/>
      <c r="I72" s="188"/>
      <c r="J72" s="190"/>
    </row>
    <row r="73" spans="2:10" ht="12">
      <c r="B73" s="193"/>
      <c r="C73" s="371"/>
      <c r="D73" s="188"/>
      <c r="E73" s="188"/>
      <c r="F73" s="188"/>
      <c r="G73" s="188"/>
      <c r="H73" s="188"/>
      <c r="I73" s="188"/>
      <c r="J73" s="190"/>
    </row>
    <row r="74" spans="2:10" ht="12">
      <c r="B74" s="193"/>
      <c r="C74" s="371"/>
      <c r="D74" s="188"/>
      <c r="E74" s="188"/>
      <c r="F74" s="188"/>
      <c r="G74" s="188"/>
      <c r="H74" s="188"/>
      <c r="I74" s="188"/>
      <c r="J74" s="190"/>
    </row>
    <row r="75" spans="2:10" ht="12">
      <c r="B75" s="193"/>
      <c r="C75" s="371"/>
      <c r="D75" s="188"/>
      <c r="E75" s="188"/>
      <c r="F75" s="188"/>
      <c r="G75" s="188"/>
      <c r="H75" s="188"/>
      <c r="I75" s="188"/>
      <c r="J75" s="190"/>
    </row>
    <row r="76" spans="2:10" ht="12">
      <c r="B76" s="193"/>
      <c r="C76" s="371"/>
      <c r="D76" s="188"/>
      <c r="E76" s="188"/>
      <c r="F76" s="188"/>
      <c r="G76" s="188"/>
      <c r="H76" s="188"/>
      <c r="I76" s="188"/>
      <c r="J76" s="190"/>
    </row>
    <row r="77" spans="2:10" ht="12">
      <c r="B77" s="193"/>
      <c r="C77" s="371"/>
      <c r="D77" s="188"/>
      <c r="E77" s="188"/>
      <c r="F77" s="188"/>
      <c r="G77" s="188"/>
      <c r="H77" s="188"/>
      <c r="I77" s="188"/>
      <c r="J77" s="188"/>
    </row>
    <row r="78" spans="2:10" ht="12">
      <c r="B78" s="193"/>
      <c r="C78" s="371"/>
      <c r="D78" s="188"/>
      <c r="E78" s="188"/>
      <c r="F78" s="188"/>
      <c r="G78" s="188"/>
      <c r="H78" s="188"/>
      <c r="I78" s="188"/>
      <c r="J78" s="190"/>
    </row>
    <row r="79" spans="2:10" ht="12">
      <c r="B79" s="193"/>
      <c r="C79" s="371"/>
      <c r="D79" s="188"/>
      <c r="E79" s="188"/>
      <c r="F79" s="188"/>
      <c r="G79" s="188"/>
      <c r="H79" s="188"/>
      <c r="I79" s="188"/>
      <c r="J79" s="190"/>
    </row>
    <row r="80" spans="2:10" ht="12">
      <c r="B80" s="195"/>
      <c r="C80" s="374"/>
      <c r="D80" s="191"/>
      <c r="E80" s="191"/>
      <c r="F80" s="191"/>
      <c r="G80" s="191"/>
      <c r="H80" s="191"/>
      <c r="I80" s="191"/>
      <c r="J80" s="192"/>
    </row>
    <row r="81" spans="4:10" ht="12">
      <c r="D81" s="10">
        <f aca="true" t="shared" si="0" ref="D81:J81">SUM(D10:D80)</f>
        <v>-7002457993</v>
      </c>
      <c r="E81" s="10">
        <f t="shared" si="0"/>
        <v>0</v>
      </c>
      <c r="F81" s="10">
        <f t="shared" si="0"/>
        <v>-156967661.19999993</v>
      </c>
      <c r="G81" s="10">
        <f t="shared" si="0"/>
        <v>0</v>
      </c>
      <c r="H81" s="10">
        <f t="shared" si="0"/>
        <v>10058981.3</v>
      </c>
      <c r="I81" s="10">
        <f t="shared" si="0"/>
        <v>3122241478.77</v>
      </c>
      <c r="J81" s="10">
        <f t="shared" si="0"/>
        <v>710862303.7600001</v>
      </c>
    </row>
  </sheetData>
  <sheetProtection selectLockedCells="1"/>
  <mergeCells count="6">
    <mergeCell ref="B8:C8"/>
    <mergeCell ref="D8:J8"/>
    <mergeCell ref="C2:H2"/>
    <mergeCell ref="C3:H3"/>
    <mergeCell ref="C6:J6"/>
    <mergeCell ref="C4:H4"/>
  </mergeCells>
  <printOptions/>
  <pageMargins left="0.708661417322835" right="0.708661417322835" top="0.748031496062992" bottom="0.748031496062992" header="0.31496062992126" footer="0.31496062992126"/>
  <pageSetup blackAndWhite="1" draft="1" fitToHeight="15" fitToWidth="1" horizontalDpi="600" verticalDpi="600" orientation="portrait" scale="46" r:id="rId1"/>
  <headerFooter>
    <oddFooter>&amp;LBorrador&amp;C&amp;A&amp;RPágina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8"/>
  <sheetViews>
    <sheetView showGridLines="0" view="pageBreakPreview" zoomScaleSheetLayoutView="100" zoomScalePageLayoutView="0" workbookViewId="0" topLeftCell="A1">
      <selection activeCell="F30" sqref="F30"/>
    </sheetView>
  </sheetViews>
  <sheetFormatPr defaultColWidth="11.421875" defaultRowHeight="15"/>
  <cols>
    <col min="1" max="1" width="2.28125" style="21" customWidth="1"/>
    <col min="2" max="2" width="4.7109375" style="3" customWidth="1"/>
    <col min="3" max="3" width="52.57421875" style="3" customWidth="1"/>
    <col min="4" max="9" width="12.7109375" style="3" customWidth="1"/>
    <col min="10" max="10" width="3.28125" style="3" customWidth="1"/>
    <col min="11" max="16384" width="11.421875" style="3" customWidth="1"/>
  </cols>
  <sheetData>
    <row r="1" s="21" customFormat="1" ht="12"/>
    <row r="2" spans="2:10" ht="12">
      <c r="B2" s="712"/>
      <c r="C2" s="712"/>
      <c r="D2" s="712"/>
      <c r="E2" s="712"/>
      <c r="F2" s="712"/>
      <c r="G2" s="712"/>
      <c r="H2" s="712"/>
      <c r="I2" s="712"/>
      <c r="J2" s="281"/>
    </row>
    <row r="3" spans="2:9" ht="12">
      <c r="B3" s="680" t="s">
        <v>242</v>
      </c>
      <c r="C3" s="680"/>
      <c r="D3" s="680"/>
      <c r="E3" s="680"/>
      <c r="F3" s="680"/>
      <c r="G3" s="680"/>
      <c r="H3" s="680"/>
      <c r="I3" s="680"/>
    </row>
    <row r="4" spans="2:9" ht="12">
      <c r="B4" s="680" t="str">
        <f>"Del 1 de enero al "&amp;TEXT(INDEX(Periodos,ENTE!D18,1),"dd")&amp;" de "&amp;TEXT(INDEX(Periodos,ENTE!D18,1),"mmmm")&amp;" de "&amp;TEXT(INDEX(Periodos,ENTE!D18,1),"aaaa")&amp;""</f>
        <v>Del 1 de enero al 30 de septiembre de 2017</v>
      </c>
      <c r="C4" s="680"/>
      <c r="D4" s="680"/>
      <c r="E4" s="680"/>
      <c r="F4" s="680"/>
      <c r="G4" s="680"/>
      <c r="H4" s="680"/>
      <c r="I4" s="680"/>
    </row>
    <row r="5" spans="2:9" ht="12">
      <c r="B5" s="680" t="s">
        <v>92</v>
      </c>
      <c r="C5" s="680"/>
      <c r="D5" s="680"/>
      <c r="E5" s="680"/>
      <c r="F5" s="680"/>
      <c r="G5" s="680"/>
      <c r="H5" s="680"/>
      <c r="I5" s="680"/>
    </row>
    <row r="6" spans="2:9" ht="12">
      <c r="B6" s="680"/>
      <c r="C6" s="680"/>
      <c r="D6" s="680"/>
      <c r="E6" s="680"/>
      <c r="F6" s="680"/>
      <c r="G6" s="680"/>
      <c r="H6" s="680"/>
      <c r="I6" s="680"/>
    </row>
    <row r="7" spans="2:9" ht="16.5" customHeight="1">
      <c r="B7" s="178" t="s">
        <v>4</v>
      </c>
      <c r="C7" s="679" t="str">
        <f>ENTE!D8</f>
        <v>UNIDAD DE SERVICIOS PARA LA EDUCACION BASICA EN EL ESTADO DE QUERETARO</v>
      </c>
      <c r="D7" s="679"/>
      <c r="E7" s="679"/>
      <c r="F7" s="679"/>
      <c r="G7" s="679"/>
      <c r="H7" s="679"/>
      <c r="I7" s="679"/>
    </row>
    <row r="8" s="21" customFormat="1" ht="12"/>
    <row r="9" spans="2:9" ht="12">
      <c r="B9" s="713" t="s">
        <v>93</v>
      </c>
      <c r="C9" s="713"/>
      <c r="D9" s="714" t="s">
        <v>493</v>
      </c>
      <c r="E9" s="714"/>
      <c r="F9" s="714"/>
      <c r="G9" s="714"/>
      <c r="H9" s="714"/>
      <c r="I9" s="714" t="s">
        <v>636</v>
      </c>
    </row>
    <row r="10" spans="2:9" ht="24">
      <c r="B10" s="713"/>
      <c r="C10" s="713"/>
      <c r="D10" s="127" t="s">
        <v>243</v>
      </c>
      <c r="E10" s="127" t="s">
        <v>244</v>
      </c>
      <c r="F10" s="127" t="s">
        <v>220</v>
      </c>
      <c r="G10" s="127" t="s">
        <v>221</v>
      </c>
      <c r="H10" s="127" t="s">
        <v>245</v>
      </c>
      <c r="I10" s="714"/>
    </row>
    <row r="11" spans="2:9" ht="12">
      <c r="B11" s="713"/>
      <c r="C11" s="713"/>
      <c r="D11" s="127">
        <v>1</v>
      </c>
      <c r="E11" s="127">
        <v>2</v>
      </c>
      <c r="F11" s="127" t="s">
        <v>246</v>
      </c>
      <c r="G11" s="127">
        <v>4</v>
      </c>
      <c r="H11" s="127">
        <v>5</v>
      </c>
      <c r="I11" s="127" t="s">
        <v>247</v>
      </c>
    </row>
    <row r="12" spans="2:9" ht="12">
      <c r="B12" s="128"/>
      <c r="C12" s="129"/>
      <c r="D12" s="130"/>
      <c r="E12" s="130"/>
      <c r="F12" s="130"/>
      <c r="G12" s="130"/>
      <c r="H12" s="130"/>
      <c r="I12" s="130"/>
    </row>
    <row r="13" spans="1:9" s="1" customFormat="1" ht="12">
      <c r="A13" s="124"/>
      <c r="B13" s="140"/>
      <c r="C13" s="592"/>
      <c r="D13" s="552">
        <f>IF(C13="","",-SCA!D10)</f>
      </c>
      <c r="E13" s="552">
        <f>IF(C13="","",-SCA!F10)</f>
      </c>
      <c r="F13" s="552">
        <f>IF(C13="","",D13+E13)</f>
      </c>
      <c r="G13" s="552">
        <f>IF(C13="","",SCA!H10)</f>
      </c>
      <c r="H13" s="552">
        <f>IF(C13="","",SCA!J10)</f>
      </c>
      <c r="I13" s="552">
        <f>IF(C13="","",F13-G13)</f>
      </c>
    </row>
    <row r="14" spans="2:9" ht="12">
      <c r="B14" s="128"/>
      <c r="C14" s="551" t="s">
        <v>799</v>
      </c>
      <c r="D14" s="553">
        <v>12931001</v>
      </c>
      <c r="E14" s="553">
        <v>-1945448.53</v>
      </c>
      <c r="F14" s="553">
        <v>10985552.49</v>
      </c>
      <c r="G14" s="553">
        <v>6762755.049999999</v>
      </c>
      <c r="H14" s="553">
        <v>5580002.079999999</v>
      </c>
      <c r="I14" s="553">
        <f>+F14-G14</f>
        <v>4222797.440000001</v>
      </c>
    </row>
    <row r="15" spans="2:9" ht="12">
      <c r="B15" s="128"/>
      <c r="C15" s="551" t="s">
        <v>800</v>
      </c>
      <c r="D15" s="553">
        <v>9641957</v>
      </c>
      <c r="E15" s="553">
        <v>-326821.5700000003</v>
      </c>
      <c r="F15" s="553">
        <v>9315135.43</v>
      </c>
      <c r="G15" s="553">
        <v>5615691.23</v>
      </c>
      <c r="H15" s="553">
        <v>3332488.9899999998</v>
      </c>
      <c r="I15" s="553">
        <f aca="true" t="shared" si="0" ref="I15:I30">+F15-G15</f>
        <v>3699444.1999999993</v>
      </c>
    </row>
    <row r="16" spans="2:9" ht="12">
      <c r="B16" s="128"/>
      <c r="C16" s="551" t="s">
        <v>801</v>
      </c>
      <c r="D16" s="553">
        <v>5004426</v>
      </c>
      <c r="E16" s="553">
        <v>-439429.29</v>
      </c>
      <c r="F16" s="553">
        <v>4564996.709999998</v>
      </c>
      <c r="G16" s="553">
        <v>2951948.540000001</v>
      </c>
      <c r="H16" s="553">
        <v>1928042.3900000004</v>
      </c>
      <c r="I16" s="553">
        <f t="shared" si="0"/>
        <v>1613048.1699999971</v>
      </c>
    </row>
    <row r="17" spans="1:9" s="1" customFormat="1" ht="12">
      <c r="A17" s="124"/>
      <c r="B17" s="140"/>
      <c r="C17" s="551" t="s">
        <v>802</v>
      </c>
      <c r="D17" s="553">
        <v>20828986</v>
      </c>
      <c r="E17" s="553">
        <v>495578.93</v>
      </c>
      <c r="F17" s="553">
        <v>21324564.93999996</v>
      </c>
      <c r="G17" s="553">
        <v>11714119.270000003</v>
      </c>
      <c r="H17" s="553">
        <v>6880379.700000005</v>
      </c>
      <c r="I17" s="553">
        <f t="shared" si="0"/>
        <v>9610445.669999957</v>
      </c>
    </row>
    <row r="18" spans="2:9" ht="12">
      <c r="B18" s="128"/>
      <c r="C18" s="551" t="s">
        <v>803</v>
      </c>
      <c r="D18" s="553">
        <v>19937833</v>
      </c>
      <c r="E18" s="553">
        <v>4317511.309999999</v>
      </c>
      <c r="F18" s="553">
        <v>24255344.31</v>
      </c>
      <c r="G18" s="553">
        <v>22438497.720000006</v>
      </c>
      <c r="H18" s="553">
        <v>20442966.21000001</v>
      </c>
      <c r="I18" s="553">
        <f t="shared" si="0"/>
        <v>1816846.5899999924</v>
      </c>
    </row>
    <row r="19" spans="2:9" ht="12">
      <c r="B19" s="128"/>
      <c r="C19" s="551" t="s">
        <v>804</v>
      </c>
      <c r="D19" s="553">
        <v>6227862</v>
      </c>
      <c r="E19" s="553">
        <v>117411268.24</v>
      </c>
      <c r="F19" s="553">
        <v>123639130.24</v>
      </c>
      <c r="G19" s="553">
        <v>121510920.56000005</v>
      </c>
      <c r="H19" s="553">
        <v>120306986.73000005</v>
      </c>
      <c r="I19" s="553">
        <f t="shared" si="0"/>
        <v>2128209.6799999475</v>
      </c>
    </row>
    <row r="20" spans="2:9" ht="12">
      <c r="B20" s="128"/>
      <c r="C20" s="551" t="s">
        <v>805</v>
      </c>
      <c r="D20" s="553">
        <v>796050214</v>
      </c>
      <c r="E20" s="553">
        <v>-101155038.54</v>
      </c>
      <c r="F20" s="553">
        <v>694895175.45</v>
      </c>
      <c r="G20" s="553">
        <v>419924236.1000002</v>
      </c>
      <c r="H20" s="553">
        <v>20197375.79999999</v>
      </c>
      <c r="I20" s="553">
        <f t="shared" si="0"/>
        <v>274970939.34999985</v>
      </c>
    </row>
    <row r="21" spans="2:9" ht="12">
      <c r="B21" s="128"/>
      <c r="C21" s="551" t="s">
        <v>806</v>
      </c>
      <c r="D21" s="553">
        <v>1974789315</v>
      </c>
      <c r="E21" s="553">
        <v>-263531063.7099998</v>
      </c>
      <c r="F21" s="553">
        <v>1711258251.2900002</v>
      </c>
      <c r="G21" s="553">
        <v>1057039599.5300006</v>
      </c>
      <c r="H21" s="553">
        <v>86954081.85999998</v>
      </c>
      <c r="I21" s="553">
        <f t="shared" si="0"/>
        <v>654218651.7599996</v>
      </c>
    </row>
    <row r="22" spans="2:9" ht="12">
      <c r="B22" s="128"/>
      <c r="C22" s="551" t="s">
        <v>807</v>
      </c>
      <c r="D22" s="553">
        <v>1993244944</v>
      </c>
      <c r="E22" s="553">
        <v>-253923349.95</v>
      </c>
      <c r="F22" s="553">
        <v>1739321594.0400023</v>
      </c>
      <c r="G22" s="553">
        <v>1056113548.1800001</v>
      </c>
      <c r="H22" s="553">
        <v>76823662.42</v>
      </c>
      <c r="I22" s="553">
        <f t="shared" si="0"/>
        <v>683208045.8600023</v>
      </c>
    </row>
    <row r="23" spans="2:9" ht="12">
      <c r="B23" s="128"/>
      <c r="C23" s="551" t="s">
        <v>808</v>
      </c>
      <c r="D23" s="553">
        <v>714290917</v>
      </c>
      <c r="E23" s="553">
        <v>-75061196.85</v>
      </c>
      <c r="F23" s="553">
        <v>639229720.14</v>
      </c>
      <c r="G23" s="553">
        <v>362420611.9</v>
      </c>
      <c r="H23" s="553">
        <v>66989548.52999997</v>
      </c>
      <c r="I23" s="553">
        <f t="shared" si="0"/>
        <v>276809108.24</v>
      </c>
    </row>
    <row r="24" spans="2:9" ht="12">
      <c r="B24" s="128"/>
      <c r="C24" s="551" t="s">
        <v>809</v>
      </c>
      <c r="D24" s="553">
        <v>17957352</v>
      </c>
      <c r="E24" s="553">
        <v>3093157.29</v>
      </c>
      <c r="F24" s="553">
        <v>21050509.29999999</v>
      </c>
      <c r="G24" s="553">
        <v>12577421.18</v>
      </c>
      <c r="H24" s="553">
        <v>9225820.3</v>
      </c>
      <c r="I24" s="553">
        <f t="shared" si="0"/>
        <v>8473088.11999999</v>
      </c>
    </row>
    <row r="25" spans="2:9" ht="12">
      <c r="B25" s="128"/>
      <c r="C25" s="551" t="s">
        <v>810</v>
      </c>
      <c r="D25" s="553">
        <v>45559693</v>
      </c>
      <c r="E25" s="553">
        <v>1229334.1</v>
      </c>
      <c r="F25" s="553">
        <v>46789027.1</v>
      </c>
      <c r="G25" s="553">
        <v>23973122.14999999</v>
      </c>
      <c r="H25" s="553">
        <v>10056016.379999993</v>
      </c>
      <c r="I25" s="553">
        <f t="shared" si="0"/>
        <v>22815904.95000001</v>
      </c>
    </row>
    <row r="26" spans="2:9" ht="12">
      <c r="B26" s="128"/>
      <c r="C26" s="551" t="s">
        <v>811</v>
      </c>
      <c r="D26" s="553">
        <v>8371820</v>
      </c>
      <c r="E26" s="553">
        <v>29662.62</v>
      </c>
      <c r="F26" s="553">
        <v>8401482.620000003</v>
      </c>
      <c r="G26" s="553">
        <v>5166842.680000002</v>
      </c>
      <c r="H26" s="553">
        <v>1981961.09</v>
      </c>
      <c r="I26" s="553">
        <f t="shared" si="0"/>
        <v>3234639.9400000013</v>
      </c>
    </row>
    <row r="27" spans="2:9" ht="12">
      <c r="B27" s="128"/>
      <c r="C27" s="551" t="s">
        <v>812</v>
      </c>
      <c r="D27" s="553">
        <v>1214746388</v>
      </c>
      <c r="E27" s="553">
        <v>-38084661.88</v>
      </c>
      <c r="F27" s="553">
        <v>1176661726.11</v>
      </c>
      <c r="G27" s="553">
        <v>609703170.43</v>
      </c>
      <c r="H27" s="553">
        <v>201128740.84000012</v>
      </c>
      <c r="I27" s="553">
        <f t="shared" si="0"/>
        <v>566958555.68</v>
      </c>
    </row>
    <row r="28" spans="2:9" ht="12">
      <c r="B28" s="128"/>
      <c r="C28" s="551" t="s">
        <v>813</v>
      </c>
      <c r="D28" s="553">
        <v>121676627</v>
      </c>
      <c r="E28" s="553">
        <v>763762593.7899997</v>
      </c>
      <c r="F28" s="553">
        <v>885439220.7899997</v>
      </c>
      <c r="G28" s="553">
        <v>96387616.55999997</v>
      </c>
      <c r="H28" s="553">
        <v>55725121.01999998</v>
      </c>
      <c r="I28" s="553">
        <f t="shared" si="0"/>
        <v>789051604.2299998</v>
      </c>
    </row>
    <row r="29" spans="2:9" ht="12">
      <c r="B29" s="128"/>
      <c r="C29" s="551" t="s">
        <v>814</v>
      </c>
      <c r="D29" s="553">
        <v>10625839</v>
      </c>
      <c r="E29" s="553">
        <v>6194238.12</v>
      </c>
      <c r="F29" s="553">
        <v>16820077.12000001</v>
      </c>
      <c r="G29" s="553">
        <v>10731926</v>
      </c>
      <c r="H29" s="553">
        <v>9375957.17</v>
      </c>
      <c r="I29" s="553">
        <f t="shared" si="0"/>
        <v>6088151.1200000085</v>
      </c>
    </row>
    <row r="30" spans="2:9" ht="12">
      <c r="B30" s="128"/>
      <c r="C30" s="551" t="s">
        <v>815</v>
      </c>
      <c r="D30" s="553">
        <v>30572819</v>
      </c>
      <c r="E30" s="553">
        <v>-5098672.879999995</v>
      </c>
      <c r="F30" s="553">
        <v>25474146.120000005</v>
      </c>
      <c r="G30" s="553">
        <v>18130736.78</v>
      </c>
      <c r="H30" s="553">
        <v>13933152.250000002</v>
      </c>
      <c r="I30" s="553">
        <f t="shared" si="0"/>
        <v>7343409.340000004</v>
      </c>
    </row>
    <row r="31" spans="2:9" ht="12">
      <c r="B31" s="128"/>
      <c r="C31" s="129"/>
      <c r="D31" s="105">
        <f>IF(C31="","",-SCA!D37)</f>
      </c>
      <c r="E31" s="105">
        <f>IF(C31="","",-SCA!F37)</f>
      </c>
      <c r="F31" s="105">
        <f aca="true" t="shared" si="1" ref="F31:F75">IF(C31="","",D31+E31)</f>
      </c>
      <c r="G31" s="105">
        <f>IF(C31="","",SCA!H37)</f>
      </c>
      <c r="H31" s="105">
        <f>IF(C31="","",SCA!J37)</f>
      </c>
      <c r="I31" s="105">
        <f aca="true" t="shared" si="2" ref="I31:I75">IF(C31="","",F31-G31)</f>
      </c>
    </row>
    <row r="32" spans="2:9" ht="12">
      <c r="B32" s="128"/>
      <c r="C32" s="129"/>
      <c r="D32" s="105">
        <f>IF(C32="","",-SCA!D38)</f>
      </c>
      <c r="E32" s="105">
        <f>IF(C32="","",-SCA!F38)</f>
      </c>
      <c r="F32" s="105">
        <f t="shared" si="1"/>
      </c>
      <c r="G32" s="105">
        <f>IF(C32="","",SCA!H38)</f>
      </c>
      <c r="H32" s="105">
        <f>IF(C32="","",SCA!J38)</f>
      </c>
      <c r="I32" s="105">
        <f t="shared" si="2"/>
      </c>
    </row>
    <row r="33" spans="2:9" ht="12">
      <c r="B33" s="128"/>
      <c r="C33" s="129"/>
      <c r="D33" s="105">
        <f>IF(C33="","",-SCA!D39)</f>
      </c>
      <c r="E33" s="105">
        <f>IF(C33="","",-SCA!F39)</f>
      </c>
      <c r="F33" s="105">
        <f t="shared" si="1"/>
      </c>
      <c r="G33" s="105">
        <f>IF(C33="","",SCA!H39)</f>
      </c>
      <c r="H33" s="105">
        <f>IF(C33="","",SCA!J39)</f>
      </c>
      <c r="I33" s="105">
        <f t="shared" si="2"/>
      </c>
    </row>
    <row r="34" spans="2:9" ht="12">
      <c r="B34" s="128"/>
      <c r="C34" s="129"/>
      <c r="D34" s="105">
        <f>IF(C34="","",-SCA!D40)</f>
      </c>
      <c r="E34" s="105">
        <f>IF(C34="","",-SCA!F40)</f>
      </c>
      <c r="F34" s="105">
        <f t="shared" si="1"/>
      </c>
      <c r="G34" s="105">
        <f>IF(C34="","",SCA!H40)</f>
      </c>
      <c r="H34" s="105">
        <f>IF(C34="","",SCA!J40)</f>
      </c>
      <c r="I34" s="105">
        <f t="shared" si="2"/>
      </c>
    </row>
    <row r="35" spans="2:9" ht="12">
      <c r="B35" s="128"/>
      <c r="C35" s="129"/>
      <c r="D35" s="105">
        <f>IF(C35="","",-SCA!D41)</f>
      </c>
      <c r="E35" s="105">
        <f>IF(C35="","",-SCA!F41)</f>
      </c>
      <c r="F35" s="105">
        <f t="shared" si="1"/>
      </c>
      <c r="G35" s="105">
        <f>IF(C35="","",SCA!H41)</f>
      </c>
      <c r="H35" s="105">
        <f>IF(C35="","",SCA!J41)</f>
      </c>
      <c r="I35" s="105">
        <f t="shared" si="2"/>
      </c>
    </row>
    <row r="36" spans="2:9" ht="12">
      <c r="B36" s="128"/>
      <c r="C36" s="129"/>
      <c r="D36" s="105">
        <f>IF(C36="","",-SCA!D42)</f>
      </c>
      <c r="E36" s="105">
        <f>IF(C36="","",-SCA!F42)</f>
      </c>
      <c r="F36" s="105">
        <f t="shared" si="1"/>
      </c>
      <c r="G36" s="105">
        <f>IF(C36="","",SCA!H42)</f>
      </c>
      <c r="H36" s="105">
        <f>IF(C36="","",SCA!J42)</f>
      </c>
      <c r="I36" s="105">
        <f t="shared" si="2"/>
      </c>
    </row>
    <row r="37" spans="2:9" ht="12">
      <c r="B37" s="128"/>
      <c r="C37" s="129"/>
      <c r="D37" s="105">
        <f>IF(C37="","",-SCA!D43)</f>
      </c>
      <c r="E37" s="105">
        <f>IF(C37="","",-SCA!F43)</f>
      </c>
      <c r="F37" s="105">
        <f t="shared" si="1"/>
      </c>
      <c r="G37" s="105">
        <f>IF(C37="","",SCA!H43)</f>
      </c>
      <c r="H37" s="105">
        <f>IF(C37="","",SCA!J43)</f>
      </c>
      <c r="I37" s="105">
        <f t="shared" si="2"/>
      </c>
    </row>
    <row r="38" spans="2:9" ht="12">
      <c r="B38" s="128"/>
      <c r="C38" s="129"/>
      <c r="D38" s="105">
        <f>IF(C38="","",-SCA!D44)</f>
      </c>
      <c r="E38" s="105">
        <f>IF(C38="","",-SCA!F44)</f>
      </c>
      <c r="F38" s="105">
        <f t="shared" si="1"/>
      </c>
      <c r="G38" s="105">
        <f>IF(C38="","",SCA!H44)</f>
      </c>
      <c r="H38" s="105">
        <f>IF(C38="","",SCA!J44)</f>
      </c>
      <c r="I38" s="105">
        <f t="shared" si="2"/>
      </c>
    </row>
    <row r="39" spans="2:9" ht="12">
      <c r="B39" s="128"/>
      <c r="C39" s="129"/>
      <c r="D39" s="105">
        <f>IF(C39="","",-SCA!D45)</f>
      </c>
      <c r="E39" s="105">
        <f>IF(C39="","",-SCA!F45)</f>
      </c>
      <c r="F39" s="105">
        <f t="shared" si="1"/>
      </c>
      <c r="G39" s="105">
        <f>IF(C39="","",SCA!H45)</f>
      </c>
      <c r="H39" s="105">
        <f>IF(C39="","",SCA!J45)</f>
      </c>
      <c r="I39" s="105">
        <f t="shared" si="2"/>
      </c>
    </row>
    <row r="40" spans="2:9" ht="12">
      <c r="B40" s="128"/>
      <c r="C40" s="129"/>
      <c r="D40" s="105">
        <f>IF(C40="","",-SCA!D46)</f>
      </c>
      <c r="E40" s="105">
        <f>IF(C40="","",-SCA!F46)</f>
      </c>
      <c r="F40" s="105">
        <f t="shared" si="1"/>
      </c>
      <c r="G40" s="105">
        <f>IF(C40="","",SCA!H46)</f>
      </c>
      <c r="H40" s="105">
        <f>IF(C40="","",SCA!J46)</f>
      </c>
      <c r="I40" s="105">
        <f t="shared" si="2"/>
      </c>
    </row>
    <row r="41" spans="2:9" ht="12">
      <c r="B41" s="128"/>
      <c r="C41" s="129"/>
      <c r="D41" s="105">
        <f>IF(C41="","",-SCA!D47)</f>
      </c>
      <c r="E41" s="105">
        <f>IF(C41="","",-SCA!F47)</f>
      </c>
      <c r="F41" s="105">
        <f t="shared" si="1"/>
      </c>
      <c r="G41" s="105">
        <f>IF(C41="","",SCA!H47)</f>
      </c>
      <c r="H41" s="105">
        <f>IF(C41="","",SCA!J47)</f>
      </c>
      <c r="I41" s="105">
        <f t="shared" si="2"/>
      </c>
    </row>
    <row r="42" spans="2:9" ht="12">
      <c r="B42" s="128"/>
      <c r="C42" s="129"/>
      <c r="D42" s="105">
        <f>IF(C42="","",-SCA!D48)</f>
      </c>
      <c r="E42" s="105">
        <f>IF(C42="","",-SCA!F48)</f>
      </c>
      <c r="F42" s="105">
        <f t="shared" si="1"/>
      </c>
      <c r="G42" s="105">
        <f>IF(C42="","",SCA!H48)</f>
      </c>
      <c r="H42" s="105">
        <f>IF(C42="","",SCA!J48)</f>
      </c>
      <c r="I42" s="105">
        <f t="shared" si="2"/>
      </c>
    </row>
    <row r="43" spans="2:9" ht="12">
      <c r="B43" s="128"/>
      <c r="C43" s="129"/>
      <c r="D43" s="105">
        <f>IF(C43="","",-SCA!D49)</f>
      </c>
      <c r="E43" s="105">
        <f>IF(C43="","",-SCA!F49)</f>
      </c>
      <c r="F43" s="105">
        <f t="shared" si="1"/>
      </c>
      <c r="G43" s="105">
        <f>IF(C43="","",SCA!H49)</f>
      </c>
      <c r="H43" s="105">
        <f>IF(C43="","",SCA!J49)</f>
      </c>
      <c r="I43" s="105">
        <f t="shared" si="2"/>
      </c>
    </row>
    <row r="44" spans="2:9" ht="12">
      <c r="B44" s="128"/>
      <c r="C44" s="129"/>
      <c r="D44" s="105">
        <f>IF(C44="","",-SCA!D50)</f>
      </c>
      <c r="E44" s="105">
        <f>IF(C44="","",-SCA!F50)</f>
      </c>
      <c r="F44" s="105">
        <f t="shared" si="1"/>
      </c>
      <c r="G44" s="105">
        <f>IF(C44="","",SCA!H50)</f>
      </c>
      <c r="H44" s="105">
        <f>IF(C44="","",SCA!J50)</f>
      </c>
      <c r="I44" s="105">
        <f t="shared" si="2"/>
      </c>
    </row>
    <row r="45" spans="2:9" ht="12">
      <c r="B45" s="128"/>
      <c r="C45" s="129"/>
      <c r="D45" s="105">
        <f>IF(C45="","",-SCA!D51)</f>
      </c>
      <c r="E45" s="105">
        <f>IF(C45="","",-SCA!F51)</f>
      </c>
      <c r="F45" s="105">
        <f t="shared" si="1"/>
      </c>
      <c r="G45" s="105">
        <f>IF(C45="","",SCA!H51)</f>
      </c>
      <c r="H45" s="105">
        <f>IF(C45="","",SCA!J51)</f>
      </c>
      <c r="I45" s="105">
        <f t="shared" si="2"/>
      </c>
    </row>
    <row r="46" spans="2:9" ht="12">
      <c r="B46" s="128"/>
      <c r="C46" s="129"/>
      <c r="D46" s="105">
        <f>IF(C46="","",-SCA!D52)</f>
      </c>
      <c r="E46" s="105">
        <f>IF(C46="","",-SCA!F52)</f>
      </c>
      <c r="F46" s="105">
        <f t="shared" si="1"/>
      </c>
      <c r="G46" s="105">
        <f>IF(C46="","",SCA!H52)</f>
      </c>
      <c r="H46" s="105">
        <f>IF(C46="","",SCA!J52)</f>
      </c>
      <c r="I46" s="105">
        <f t="shared" si="2"/>
      </c>
    </row>
    <row r="47" spans="2:9" ht="12">
      <c r="B47" s="128"/>
      <c r="C47" s="129"/>
      <c r="D47" s="105">
        <f>IF(C47="","",-SCA!D53)</f>
      </c>
      <c r="E47" s="105">
        <f>IF(C47="","",-SCA!F53)</f>
      </c>
      <c r="F47" s="105">
        <f t="shared" si="1"/>
      </c>
      <c r="G47" s="105">
        <f>IF(C47="","",SCA!H53)</f>
      </c>
      <c r="H47" s="105">
        <f>IF(C47="","",SCA!J53)</f>
      </c>
      <c r="I47" s="105">
        <f t="shared" si="2"/>
      </c>
    </row>
    <row r="48" spans="2:9" ht="12">
      <c r="B48" s="128"/>
      <c r="C48" s="129"/>
      <c r="D48" s="105">
        <f>IF(C48="","",-SCA!D54)</f>
      </c>
      <c r="E48" s="105">
        <f>IF(C48="","",-SCA!F54)</f>
      </c>
      <c r="F48" s="105">
        <f t="shared" si="1"/>
      </c>
      <c r="G48" s="105">
        <f>IF(C48="","",SCA!H54)</f>
      </c>
      <c r="H48" s="105">
        <f>IF(C48="","",SCA!J54)</f>
      </c>
      <c r="I48" s="105">
        <f t="shared" si="2"/>
      </c>
    </row>
    <row r="49" spans="2:9" ht="12">
      <c r="B49" s="128"/>
      <c r="C49" s="345"/>
      <c r="D49" s="105">
        <f>IF(C49="","",-SCA!D55)</f>
      </c>
      <c r="E49" s="105">
        <f>IF(C49="","",-SCA!F55)</f>
      </c>
      <c r="F49" s="105">
        <f t="shared" si="1"/>
      </c>
      <c r="G49" s="105">
        <f>IF(C49="","",SCA!H55)</f>
      </c>
      <c r="H49" s="105">
        <f>IF(C49="","",SCA!J55)</f>
      </c>
      <c r="I49" s="105">
        <f t="shared" si="2"/>
      </c>
    </row>
    <row r="50" spans="2:9" ht="12">
      <c r="B50" s="128"/>
      <c r="C50" s="129">
        <f>IF(SCA!C56="","",SCA!C56)</f>
      </c>
      <c r="D50" s="105">
        <f>IF(C50="","",-SCA!D56)</f>
      </c>
      <c r="E50" s="105">
        <f>IF(C50="","",-SCA!F56)</f>
      </c>
      <c r="F50" s="105">
        <f t="shared" si="1"/>
      </c>
      <c r="G50" s="105">
        <f>IF(C50="","",SCA!H56)</f>
      </c>
      <c r="H50" s="105">
        <f>IF(C50="","",SCA!J56)</f>
      </c>
      <c r="I50" s="105">
        <f t="shared" si="2"/>
      </c>
    </row>
    <row r="51" spans="2:9" ht="12">
      <c r="B51" s="128"/>
      <c r="C51" s="129">
        <f>IF(SCA!C57="","",SCA!C57)</f>
      </c>
      <c r="D51" s="105">
        <f>IF(C51="","",-SCA!D57)</f>
      </c>
      <c r="E51" s="105">
        <f>IF(C51="","",-SCA!F57)</f>
      </c>
      <c r="F51" s="105">
        <f t="shared" si="1"/>
      </c>
      <c r="G51" s="105">
        <f>IF(C51="","",SCA!H57)</f>
      </c>
      <c r="H51" s="105">
        <f>IF(C51="","",SCA!J57)</f>
      </c>
      <c r="I51" s="105">
        <f t="shared" si="2"/>
      </c>
    </row>
    <row r="52" spans="2:9" ht="12">
      <c r="B52" s="128"/>
      <c r="C52" s="129">
        <f>IF(SCA!C58="","",SCA!C58)</f>
      </c>
      <c r="D52" s="105">
        <f>IF(C52="","",-SCA!D58)</f>
      </c>
      <c r="E52" s="105">
        <f>IF(C52="","",-SCA!F58)</f>
      </c>
      <c r="F52" s="105">
        <f t="shared" si="1"/>
      </c>
      <c r="G52" s="105">
        <f>IF(C52="","",SCA!H58)</f>
      </c>
      <c r="H52" s="105">
        <f>IF(C52="","",SCA!J58)</f>
      </c>
      <c r="I52" s="105">
        <f t="shared" si="2"/>
      </c>
    </row>
    <row r="53" spans="2:9" ht="12">
      <c r="B53" s="128"/>
      <c r="C53" s="129">
        <f>IF(SCA!C59="","",SCA!C59)</f>
      </c>
      <c r="D53" s="105">
        <f>IF(C53="","",-SCA!D59)</f>
      </c>
      <c r="E53" s="105">
        <f>IF(C53="","",-SCA!F59)</f>
      </c>
      <c r="F53" s="105">
        <f t="shared" si="1"/>
      </c>
      <c r="G53" s="105">
        <f>IF(C53="","",SCA!H59)</f>
      </c>
      <c r="H53" s="105">
        <f>IF(C53="","",SCA!J59)</f>
      </c>
      <c r="I53" s="105">
        <f>IF(C53="","",F53-G53)</f>
      </c>
    </row>
    <row r="54" spans="2:9" ht="12">
      <c r="B54" s="128"/>
      <c r="C54" s="129">
        <f>IF(SCA!C60="","",SCA!C60)</f>
      </c>
      <c r="D54" s="105">
        <f>IF(C54="","",-SCA!D60)</f>
      </c>
      <c r="E54" s="105">
        <f>IF(C54="","",-SCA!F60)</f>
      </c>
      <c r="F54" s="105">
        <f>IF(C54="","",D54+E54)</f>
      </c>
      <c r="G54" s="105">
        <f>IF(C54="","",SCA!H60)</f>
      </c>
      <c r="H54" s="105">
        <f>IF(C54="","",SCA!J60)</f>
      </c>
      <c r="I54" s="105">
        <f t="shared" si="2"/>
      </c>
    </row>
    <row r="55" spans="2:9" ht="12">
      <c r="B55" s="128"/>
      <c r="C55" s="129">
        <f>IF(SCA!C61="","",SCA!C61)</f>
      </c>
      <c r="D55" s="105">
        <f>IF(C55="","",-SCA!D61)</f>
      </c>
      <c r="E55" s="105">
        <f>IF(C55="","",-SCA!F61)</f>
      </c>
      <c r="F55" s="105">
        <f t="shared" si="1"/>
      </c>
      <c r="G55" s="105">
        <f>IF(C55="","",SCA!H61)</f>
      </c>
      <c r="H55" s="105">
        <f>IF(C55="","",SCA!J61)</f>
      </c>
      <c r="I55" s="105">
        <f t="shared" si="2"/>
      </c>
    </row>
    <row r="56" spans="2:9" ht="12">
      <c r="B56" s="128"/>
      <c r="C56" s="129">
        <f>IF(SCA!C62="","",SCA!C62)</f>
      </c>
      <c r="D56" s="105">
        <f>IF(C56="","",-SCA!D62)</f>
      </c>
      <c r="E56" s="105">
        <f>IF(C56="","",-SCA!F62)</f>
      </c>
      <c r="F56" s="105">
        <f t="shared" si="1"/>
      </c>
      <c r="G56" s="105">
        <f>IF(C56="","",SCA!H62)</f>
      </c>
      <c r="H56" s="105">
        <f>IF(C56="","",SCA!J62)</f>
      </c>
      <c r="I56" s="105">
        <f t="shared" si="2"/>
      </c>
    </row>
    <row r="57" spans="2:9" ht="12">
      <c r="B57" s="128"/>
      <c r="C57" s="129">
        <f>IF(SCA!C63="","",SCA!C63)</f>
      </c>
      <c r="D57" s="105">
        <f>IF(C57="","",-SCA!D63)</f>
      </c>
      <c r="E57" s="105">
        <f>IF(C57="","",-SCA!F63)</f>
      </c>
      <c r="F57" s="105">
        <f t="shared" si="1"/>
      </c>
      <c r="G57" s="105">
        <f>IF(C57="","",SCA!H63)</f>
      </c>
      <c r="H57" s="105">
        <f>IF(C57="","",SCA!J63)</f>
      </c>
      <c r="I57" s="105">
        <f t="shared" si="2"/>
      </c>
    </row>
    <row r="58" spans="2:9" ht="12">
      <c r="B58" s="128"/>
      <c r="C58" s="129">
        <f>IF(SCA!C64="","",SCA!C64)</f>
      </c>
      <c r="D58" s="105">
        <f>IF(C58="","",-SCA!D64)</f>
      </c>
      <c r="E58" s="105">
        <f>IF(C58="","",-SCA!F64)</f>
      </c>
      <c r="F58" s="105">
        <f t="shared" si="1"/>
      </c>
      <c r="G58" s="105">
        <f>IF(C58="","",SCA!H64)</f>
      </c>
      <c r="H58" s="105">
        <f>IF(C58="","",SCA!J64)</f>
      </c>
      <c r="I58" s="105">
        <f t="shared" si="2"/>
      </c>
    </row>
    <row r="59" spans="2:9" ht="12">
      <c r="B59" s="128"/>
      <c r="C59" s="129">
        <f>IF(SCA!C65="","",SCA!C65)</f>
      </c>
      <c r="D59" s="105">
        <f>IF(C59="","",-SCA!D65)</f>
      </c>
      <c r="E59" s="105">
        <f>IF(C59="","",-SCA!F65)</f>
      </c>
      <c r="F59" s="105">
        <f t="shared" si="1"/>
      </c>
      <c r="G59" s="105">
        <f>IF(C59="","",SCA!H65)</f>
      </c>
      <c r="H59" s="105">
        <f>IF(C59="","",SCA!J65)</f>
      </c>
      <c r="I59" s="105">
        <f t="shared" si="2"/>
      </c>
    </row>
    <row r="60" spans="2:9" ht="12">
      <c r="B60" s="128"/>
      <c r="C60" s="129">
        <f>IF(SCA!C66="","",SCA!C66)</f>
      </c>
      <c r="D60" s="105">
        <f>IF(C60="","",-SCA!D66)</f>
      </c>
      <c r="E60" s="105">
        <f>IF(C60="","",-SCA!F66)</f>
      </c>
      <c r="F60" s="105">
        <f t="shared" si="1"/>
      </c>
      <c r="G60" s="105">
        <f>IF(C60="","",SCA!H66)</f>
      </c>
      <c r="H60" s="105">
        <f>IF(C60="","",SCA!J66)</f>
      </c>
      <c r="I60" s="105">
        <f t="shared" si="2"/>
      </c>
    </row>
    <row r="61" spans="2:9" ht="12">
      <c r="B61" s="128"/>
      <c r="C61" s="129">
        <f>IF(SCA!C67="","",SCA!C67)</f>
      </c>
      <c r="D61" s="105">
        <f>IF(C61="","",-SCA!D67)</f>
      </c>
      <c r="E61" s="105">
        <f>IF(C61="","",-SCA!F67)</f>
      </c>
      <c r="F61" s="105">
        <f t="shared" si="1"/>
      </c>
      <c r="G61" s="105">
        <f>IF(C61="","",SCA!H67)</f>
      </c>
      <c r="H61" s="105">
        <f>IF(C61="","",SCA!J67)</f>
      </c>
      <c r="I61" s="105">
        <f t="shared" si="2"/>
      </c>
    </row>
    <row r="62" spans="2:9" ht="12">
      <c r="B62" s="128"/>
      <c r="C62" s="129">
        <f>IF(SCA!C68="","",SCA!C68)</f>
      </c>
      <c r="D62" s="105">
        <f>IF(C62="","",-SCA!D68)</f>
      </c>
      <c r="E62" s="105">
        <f>IF(C62="","",-SCA!F68)</f>
      </c>
      <c r="F62" s="105">
        <f t="shared" si="1"/>
      </c>
      <c r="G62" s="105">
        <f>IF(C62="","",SCA!H68)</f>
      </c>
      <c r="H62" s="105">
        <f>IF(C62="","",SCA!J68)</f>
      </c>
      <c r="I62" s="105">
        <f t="shared" si="2"/>
      </c>
    </row>
    <row r="63" spans="2:9" ht="12">
      <c r="B63" s="128"/>
      <c r="C63" s="129">
        <f>IF(SCA!C69="","",SCA!C69)</f>
      </c>
      <c r="D63" s="105">
        <f>IF(C63="","",-SCA!D69)</f>
      </c>
      <c r="E63" s="105">
        <f>IF(C63="","",-SCA!F69)</f>
      </c>
      <c r="F63" s="105">
        <f t="shared" si="1"/>
      </c>
      <c r="G63" s="105">
        <f>IF(C63="","",SCA!H69)</f>
      </c>
      <c r="H63" s="105">
        <f>IF(C63="","",SCA!J69)</f>
      </c>
      <c r="I63" s="105">
        <f t="shared" si="2"/>
      </c>
    </row>
    <row r="64" spans="2:9" ht="12">
      <c r="B64" s="128"/>
      <c r="C64" s="129">
        <f>IF(SCA!C70="","",SCA!C70)</f>
      </c>
      <c r="D64" s="105">
        <f>IF(C64="","",-SCA!D70)</f>
      </c>
      <c r="E64" s="105">
        <f>IF(C64="","",-SCA!F70)</f>
      </c>
      <c r="F64" s="105">
        <f t="shared" si="1"/>
      </c>
      <c r="G64" s="105">
        <f>IF(C64="","",SCA!H70)</f>
      </c>
      <c r="H64" s="105">
        <f>IF(C64="","",SCA!J70)</f>
      </c>
      <c r="I64" s="105">
        <f t="shared" si="2"/>
      </c>
    </row>
    <row r="65" spans="2:9" ht="12">
      <c r="B65" s="128"/>
      <c r="C65" s="129">
        <f>IF(SCA!C71="","",SCA!C71)</f>
      </c>
      <c r="D65" s="105">
        <f>IF(C65="","",-SCA!D71)</f>
      </c>
      <c r="E65" s="105">
        <f>IF(C65="","",-SCA!F71)</f>
      </c>
      <c r="F65" s="105">
        <f t="shared" si="1"/>
      </c>
      <c r="G65" s="105">
        <f>IF(C65="","",SCA!H71)</f>
      </c>
      <c r="H65" s="105">
        <f>IF(C65="","",SCA!J71)</f>
      </c>
      <c r="I65" s="105">
        <f t="shared" si="2"/>
      </c>
    </row>
    <row r="66" spans="2:9" ht="12">
      <c r="B66" s="128"/>
      <c r="C66" s="129">
        <f>IF(SCA!C72="","",SCA!C72)</f>
      </c>
      <c r="D66" s="105">
        <f>IF(C66="","",-SCA!D72)</f>
      </c>
      <c r="E66" s="105">
        <f>IF(C66="","",-SCA!F72)</f>
      </c>
      <c r="F66" s="105">
        <f t="shared" si="1"/>
      </c>
      <c r="G66" s="105">
        <f>IF(C66="","",SCA!H72)</f>
      </c>
      <c r="H66" s="105">
        <f>IF(C66="","",SCA!J72)</f>
      </c>
      <c r="I66" s="105">
        <f t="shared" si="2"/>
      </c>
    </row>
    <row r="67" spans="2:9" ht="12">
      <c r="B67" s="128"/>
      <c r="C67" s="129">
        <f>IF(SCA!C73="","",SCA!C73)</f>
      </c>
      <c r="D67" s="105">
        <f>IF(C67="","",-SCA!D73)</f>
      </c>
      <c r="E67" s="105">
        <f>IF(C67="","",-SCA!F73)</f>
      </c>
      <c r="F67" s="105">
        <f t="shared" si="1"/>
      </c>
      <c r="G67" s="105">
        <f>IF(C67="","",SCA!H73)</f>
      </c>
      <c r="H67" s="105">
        <f>IF(C67="","",SCA!J73)</f>
      </c>
      <c r="I67" s="105">
        <f t="shared" si="2"/>
      </c>
    </row>
    <row r="68" spans="2:9" ht="12">
      <c r="B68" s="128"/>
      <c r="C68" s="129">
        <f>IF(SCA!C74="","",SCA!C74)</f>
      </c>
      <c r="D68" s="105">
        <f>IF(C68="","",-SCA!D74)</f>
      </c>
      <c r="E68" s="105">
        <f>IF(C68="","",-SCA!F74)</f>
      </c>
      <c r="F68" s="105">
        <f t="shared" si="1"/>
      </c>
      <c r="G68" s="105">
        <f>IF(C68="","",SCA!H74)</f>
      </c>
      <c r="H68" s="105">
        <f>IF(C68="","",SCA!J74)</f>
      </c>
      <c r="I68" s="105">
        <f t="shared" si="2"/>
      </c>
    </row>
    <row r="69" spans="2:9" ht="12">
      <c r="B69" s="128"/>
      <c r="C69" s="129">
        <f>IF(SCA!C75="","",SCA!C75)</f>
      </c>
      <c r="D69" s="105">
        <f>IF(C69="","",-SCA!D75)</f>
      </c>
      <c r="E69" s="105">
        <f>IF(C69="","",-SCA!F75)</f>
      </c>
      <c r="F69" s="105">
        <f t="shared" si="1"/>
      </c>
      <c r="G69" s="105">
        <f>IF(C69="","",SCA!H75)</f>
      </c>
      <c r="H69" s="105">
        <f>IF(C69="","",SCA!J75)</f>
      </c>
      <c r="I69" s="105">
        <f t="shared" si="2"/>
      </c>
    </row>
    <row r="70" spans="2:9" ht="12">
      <c r="B70" s="128"/>
      <c r="C70" s="129">
        <f>IF(SCA!C76="","",SCA!C76)</f>
      </c>
      <c r="D70" s="105">
        <f>IF(C70="","",-SCA!D76)</f>
      </c>
      <c r="E70" s="105">
        <f>IF(C70="","",-SCA!F76)</f>
      </c>
      <c r="F70" s="105">
        <f t="shared" si="1"/>
      </c>
      <c r="G70" s="105">
        <f>IF(C70="","",SCA!H76)</f>
      </c>
      <c r="H70" s="105">
        <f>IF(C70="","",SCA!J76)</f>
      </c>
      <c r="I70" s="105">
        <f t="shared" si="2"/>
      </c>
    </row>
    <row r="71" spans="2:9" ht="12">
      <c r="B71" s="128"/>
      <c r="C71" s="129">
        <f>IF(SCA!C77="","",SCA!C77)</f>
      </c>
      <c r="D71" s="105">
        <f>IF(C71="","",-SCA!D77)</f>
      </c>
      <c r="E71" s="105">
        <f>IF(C71="","",-SCA!F77)</f>
      </c>
      <c r="F71" s="105">
        <f t="shared" si="1"/>
      </c>
      <c r="G71" s="105">
        <f>IF(C71="","",SCA!H77)</f>
      </c>
      <c r="H71" s="105">
        <f>IF(C71="","",SCA!J77)</f>
      </c>
      <c r="I71" s="105">
        <f t="shared" si="2"/>
      </c>
    </row>
    <row r="72" spans="2:9" ht="12">
      <c r="B72" s="128"/>
      <c r="C72" s="129">
        <f>IF(SCA!C78="","",SCA!C78)</f>
      </c>
      <c r="D72" s="105">
        <f>IF(C72="","",-SCA!D78)</f>
      </c>
      <c r="E72" s="105">
        <f>IF(C72="","",-SCA!F78)</f>
      </c>
      <c r="F72" s="105">
        <f t="shared" si="1"/>
      </c>
      <c r="G72" s="105">
        <f>IF(C72="","",SCA!H78)</f>
      </c>
      <c r="H72" s="105">
        <f>IF(C72="","",SCA!J78)</f>
      </c>
      <c r="I72" s="105">
        <f t="shared" si="2"/>
      </c>
    </row>
    <row r="73" spans="2:9" ht="12">
      <c r="B73" s="128"/>
      <c r="C73" s="129">
        <f>IF(SCA!C79="","",SCA!C79)</f>
      </c>
      <c r="D73" s="105">
        <f>IF(C73="","",-SCA!D79)</f>
      </c>
      <c r="E73" s="105">
        <f>IF(C73="","",-SCA!F79)</f>
      </c>
      <c r="F73" s="105">
        <f t="shared" si="1"/>
      </c>
      <c r="G73" s="105">
        <f>IF(C73="","",SCA!H79)</f>
      </c>
      <c r="H73" s="105">
        <f>IF(C73="","",SCA!J79)</f>
      </c>
      <c r="I73" s="105">
        <f t="shared" si="2"/>
      </c>
    </row>
    <row r="74" spans="2:9" ht="12">
      <c r="B74" s="128"/>
      <c r="C74" s="129">
        <f>IF(SCA!C80="","",SCA!C80)</f>
      </c>
      <c r="D74" s="105">
        <f>IF(C74="","",-SCA!D80)</f>
      </c>
      <c r="E74" s="105">
        <f>IF(C74="","",-SCA!F80)</f>
      </c>
      <c r="F74" s="105">
        <f t="shared" si="1"/>
      </c>
      <c r="G74" s="105">
        <f>IF(C74="","",SCA!H80)</f>
      </c>
      <c r="H74" s="105">
        <f>IF(C74="","",SCA!J80)</f>
      </c>
      <c r="I74" s="105">
        <f t="shared" si="2"/>
      </c>
    </row>
    <row r="75" spans="2:9" ht="12">
      <c r="B75" s="128"/>
      <c r="C75" s="129">
        <f>IF(SCA!C81="","",SCA!C81)</f>
      </c>
      <c r="D75" s="105"/>
      <c r="E75" s="105">
        <f>IF(C75="","",-SCA!F81)</f>
      </c>
      <c r="F75" s="105">
        <f t="shared" si="1"/>
      </c>
      <c r="G75" s="105">
        <f>IF(C75="","",SCA!H81)</f>
      </c>
      <c r="H75" s="105">
        <f>IF(C75="","",SCA!J81)</f>
      </c>
      <c r="I75" s="105">
        <f t="shared" si="2"/>
      </c>
    </row>
    <row r="76" spans="2:9" ht="12">
      <c r="B76" s="131"/>
      <c r="C76" s="132"/>
      <c r="D76" s="133"/>
      <c r="E76" s="133"/>
      <c r="F76" s="133"/>
      <c r="G76" s="133"/>
      <c r="H76" s="133"/>
      <c r="I76" s="133"/>
    </row>
    <row r="77" spans="1:9" s="1" customFormat="1" ht="12">
      <c r="A77" s="124"/>
      <c r="B77" s="134"/>
      <c r="C77" s="135" t="s">
        <v>248</v>
      </c>
      <c r="D77" s="136">
        <f aca="true" t="shared" si="3" ref="D77:I77">SUM(D13:D76)</f>
        <v>7002457993</v>
      </c>
      <c r="E77" s="136">
        <f t="shared" si="3"/>
        <v>156967661.19999993</v>
      </c>
      <c r="F77" s="136">
        <f t="shared" si="3"/>
        <v>7159425654.200003</v>
      </c>
      <c r="G77" s="136">
        <f t="shared" si="3"/>
        <v>3843162763.860001</v>
      </c>
      <c r="H77" s="136">
        <f t="shared" si="3"/>
        <v>710862303.76</v>
      </c>
      <c r="I77" s="136">
        <f t="shared" si="3"/>
        <v>3316262890.340001</v>
      </c>
    </row>
    <row r="78" spans="2:9" ht="12">
      <c r="B78" s="693" t="s">
        <v>149</v>
      </c>
      <c r="C78" s="693"/>
      <c r="D78" s="693"/>
      <c r="E78" s="693"/>
      <c r="F78" s="693"/>
      <c r="G78" s="693"/>
      <c r="H78" s="693"/>
      <c r="I78" s="21"/>
    </row>
    <row r="79" spans="2:9" ht="52.5" customHeight="1" hidden="1">
      <c r="B79" s="715" t="s">
        <v>249</v>
      </c>
      <c r="C79" s="716"/>
      <c r="D79" s="716"/>
      <c r="E79" s="716"/>
      <c r="F79" s="716"/>
      <c r="G79" s="716"/>
      <c r="H79" s="716"/>
      <c r="I79" s="716"/>
    </row>
    <row r="80" spans="2:9" ht="12">
      <c r="B80" s="693"/>
      <c r="C80" s="693"/>
      <c r="D80" s="693"/>
      <c r="E80" s="693"/>
      <c r="F80" s="693"/>
      <c r="G80" s="693"/>
      <c r="H80" s="693"/>
      <c r="I80" s="21"/>
    </row>
    <row r="81" spans="2:9" ht="12">
      <c r="B81" s="21"/>
      <c r="C81" s="21"/>
      <c r="D81" s="21"/>
      <c r="E81" s="21"/>
      <c r="F81" s="21"/>
      <c r="G81" s="21"/>
      <c r="H81" s="21"/>
      <c r="I81" s="21"/>
    </row>
    <row r="82" spans="2:9" ht="12">
      <c r="B82" s="21"/>
      <c r="C82" s="21"/>
      <c r="D82" s="21"/>
      <c r="E82" s="21"/>
      <c r="F82" s="21"/>
      <c r="G82" s="21"/>
      <c r="H82" s="21"/>
      <c r="I82" s="21"/>
    </row>
    <row r="84" spans="3:9" ht="12">
      <c r="C84" s="1"/>
      <c r="D84" s="1"/>
      <c r="E84" s="1"/>
      <c r="F84" s="1"/>
      <c r="G84" s="1"/>
      <c r="H84" s="1"/>
      <c r="I84" s="1"/>
    </row>
    <row r="85" spans="3:9" ht="12">
      <c r="C85" s="307"/>
      <c r="D85" s="1"/>
      <c r="E85" s="1"/>
      <c r="F85" s="307"/>
      <c r="G85" s="307"/>
      <c r="H85" s="307"/>
      <c r="I85" s="307"/>
    </row>
    <row r="86" spans="3:9" ht="12">
      <c r="C86" s="309" t="str">
        <f>+ENTE!D10</f>
        <v>ING. ENRIQUE DE ECHAVARRI LARY</v>
      </c>
      <c r="D86" s="308"/>
      <c r="E86" s="309"/>
      <c r="F86" s="691" t="str">
        <f>+ENTE!D14</f>
        <v>LIC. RICARDO SALVADOR BACA MUÑOZ</v>
      </c>
      <c r="G86" s="691"/>
      <c r="H86" s="691"/>
      <c r="I86" s="691"/>
    </row>
    <row r="87" spans="3:9" ht="12">
      <c r="C87" s="309" t="str">
        <f>+ENTE!D12</f>
        <v>COORDINADOR GENERAL </v>
      </c>
      <c r="D87" s="308"/>
      <c r="E87" s="309"/>
      <c r="F87" s="692" t="str">
        <f>+ENTE!D16</f>
        <v>DIRECTOR DE ADMINISTRACION</v>
      </c>
      <c r="G87" s="692"/>
      <c r="H87" s="692"/>
      <c r="I87" s="692"/>
    </row>
    <row r="88" spans="3:9" ht="12">
      <c r="C88" s="1"/>
      <c r="D88" s="309"/>
      <c r="E88" s="1"/>
      <c r="F88" s="1"/>
      <c r="G88" s="692"/>
      <c r="H88" s="692"/>
      <c r="I88" s="692"/>
    </row>
  </sheetData>
  <sheetProtection selectLockedCells="1"/>
  <mergeCells count="15">
    <mergeCell ref="B78:H78"/>
    <mergeCell ref="B80:H80"/>
    <mergeCell ref="G88:I88"/>
    <mergeCell ref="F86:I86"/>
    <mergeCell ref="F87:I87"/>
    <mergeCell ref="B79:I79"/>
    <mergeCell ref="B9:C11"/>
    <mergeCell ref="D9:H9"/>
    <mergeCell ref="I9:I10"/>
    <mergeCell ref="B5:I5"/>
    <mergeCell ref="B2:I2"/>
    <mergeCell ref="B3:I3"/>
    <mergeCell ref="B4:I4"/>
    <mergeCell ref="B6:I6"/>
    <mergeCell ref="C7:I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4" r:id="rId1"/>
  <headerFooter>
    <oddFooter>&amp;C&amp;A&amp;RPágina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view="pageBreakPreview" zoomScaleNormal="80" zoomScaleSheetLayoutView="100" zoomScalePageLayoutView="0" workbookViewId="0" topLeftCell="A1">
      <selection activeCell="F26" activeCellId="1" sqref="F15:F22 F26:F42"/>
    </sheetView>
  </sheetViews>
  <sheetFormatPr defaultColWidth="11.421875" defaultRowHeight="15"/>
  <cols>
    <col min="1" max="1" width="2.7109375" style="200" customWidth="1"/>
    <col min="2" max="2" width="45.140625" style="202" customWidth="1"/>
    <col min="3" max="3" width="18.7109375" style="202" bestFit="1" customWidth="1"/>
    <col min="4" max="4" width="23.00390625" style="202" customWidth="1"/>
    <col min="5" max="5" width="16.57421875" style="202" bestFit="1" customWidth="1"/>
    <col min="6" max="6" width="15.57421875" style="202" bestFit="1" customWidth="1"/>
    <col min="7" max="7" width="11.28125" style="202" bestFit="1" customWidth="1"/>
    <col min="8" max="8" width="19.8515625" style="202" bestFit="1" customWidth="1"/>
    <col min="9" max="9" width="3.421875" style="200" customWidth="1"/>
    <col min="10" max="16384" width="11.421875" style="202" customWidth="1"/>
  </cols>
  <sheetData>
    <row r="1" spans="2:8" ht="12">
      <c r="B1" s="201"/>
      <c r="C1" s="201"/>
      <c r="D1" s="201"/>
      <c r="E1" s="201"/>
      <c r="F1" s="201"/>
      <c r="G1" s="201"/>
      <c r="H1" s="201"/>
    </row>
    <row r="2" spans="2:9" ht="12">
      <c r="B2" s="712"/>
      <c r="C2" s="712"/>
      <c r="D2" s="712"/>
      <c r="E2" s="712"/>
      <c r="F2" s="712"/>
      <c r="G2" s="712"/>
      <c r="H2" s="712"/>
      <c r="I2" s="281"/>
    </row>
    <row r="3" spans="2:8" ht="12">
      <c r="B3" s="696" t="s">
        <v>629</v>
      </c>
      <c r="C3" s="696"/>
      <c r="D3" s="696"/>
      <c r="E3" s="696"/>
      <c r="F3" s="696"/>
      <c r="G3" s="696"/>
      <c r="H3" s="696"/>
    </row>
    <row r="4" spans="2:8" ht="12">
      <c r="B4" s="696" t="s">
        <v>631</v>
      </c>
      <c r="C4" s="696"/>
      <c r="D4" s="696"/>
      <c r="E4" s="696"/>
      <c r="F4" s="696"/>
      <c r="G4" s="696"/>
      <c r="H4" s="696"/>
    </row>
    <row r="5" spans="2:8" ht="12">
      <c r="B5" s="696" t="str">
        <f>"Del 1 de enero al "&amp;TEXT(INDEX(Periodos,ENTE!D18,1),"dd")&amp;" de "&amp;TEXT(INDEX(Periodos,ENTE!D18,1),"mmmm")&amp;" de "&amp;TEXT(INDEX(Periodos,ENTE!D18,1),"aaaa")&amp;""</f>
        <v>Del 1 de enero al 30 de septiembre de 2017</v>
      </c>
      <c r="C5" s="696"/>
      <c r="D5" s="696"/>
      <c r="E5" s="696"/>
      <c r="F5" s="696"/>
      <c r="G5" s="696"/>
      <c r="H5" s="696"/>
    </row>
    <row r="6" spans="2:8" ht="12">
      <c r="B6" s="696" t="s">
        <v>92</v>
      </c>
      <c r="C6" s="696"/>
      <c r="D6" s="696"/>
      <c r="E6" s="696"/>
      <c r="F6" s="696"/>
      <c r="G6" s="696"/>
      <c r="H6" s="696"/>
    </row>
    <row r="7" spans="2:8" ht="12">
      <c r="B7" s="241"/>
      <c r="C7" s="241"/>
      <c r="D7" s="241"/>
      <c r="E7" s="241"/>
      <c r="F7" s="241"/>
      <c r="G7" s="241"/>
      <c r="H7" s="241"/>
    </row>
    <row r="8" spans="2:8" ht="12">
      <c r="B8" s="198" t="s">
        <v>4</v>
      </c>
      <c r="C8" s="709" t="str">
        <f>+ENTE!D8</f>
        <v>UNIDAD DE SERVICIOS PARA LA EDUCACION BASICA EN EL ESTADO DE QUERETARO</v>
      </c>
      <c r="D8" s="709"/>
      <c r="E8" s="709"/>
      <c r="F8" s="709"/>
      <c r="G8" s="709"/>
      <c r="H8" s="299"/>
    </row>
    <row r="9" spans="2:8" ht="12">
      <c r="B9" s="235"/>
      <c r="C9" s="235"/>
      <c r="D9" s="235"/>
      <c r="E9" s="235"/>
      <c r="F9" s="235"/>
      <c r="G9" s="235"/>
      <c r="H9" s="235"/>
    </row>
    <row r="10" spans="2:8" ht="12">
      <c r="B10" s="718" t="s">
        <v>392</v>
      </c>
      <c r="C10" s="720" t="s">
        <v>493</v>
      </c>
      <c r="D10" s="720"/>
      <c r="E10" s="720"/>
      <c r="F10" s="720"/>
      <c r="G10" s="720"/>
      <c r="H10" s="720" t="s">
        <v>636</v>
      </c>
    </row>
    <row r="11" spans="2:8" ht="33" customHeight="1">
      <c r="B11" s="719"/>
      <c r="C11" s="215" t="s">
        <v>494</v>
      </c>
      <c r="D11" s="215" t="s">
        <v>244</v>
      </c>
      <c r="E11" s="250" t="s">
        <v>220</v>
      </c>
      <c r="F11" s="215" t="s">
        <v>221</v>
      </c>
      <c r="G11" s="215" t="s">
        <v>245</v>
      </c>
      <c r="H11" s="720"/>
    </row>
    <row r="12" spans="2:8" ht="12">
      <c r="B12" s="204"/>
      <c r="C12" s="217"/>
      <c r="D12" s="217"/>
      <c r="E12" s="218"/>
      <c r="F12" s="219"/>
      <c r="G12" s="218"/>
      <c r="H12" s="224"/>
    </row>
    <row r="13" spans="2:8" ht="12">
      <c r="B13" s="208" t="s">
        <v>570</v>
      </c>
      <c r="C13" s="721">
        <f>SUM(C15:C22)</f>
        <v>2000000</v>
      </c>
      <c r="D13" s="721">
        <f>SUM(D15:D22)</f>
        <v>220084.96000000008</v>
      </c>
      <c r="E13" s="721">
        <f>SUM(E15:E22)</f>
        <v>2220084.96</v>
      </c>
      <c r="F13" s="721">
        <f>SUM(F15:F22)</f>
        <v>1189329.43</v>
      </c>
      <c r="G13" s="717">
        <f>SUM(G15:G22)</f>
        <v>1189329.43</v>
      </c>
      <c r="H13" s="722">
        <f>+E13-F13</f>
        <v>1030755.53</v>
      </c>
    </row>
    <row r="14" spans="1:9" s="207" customFormat="1" ht="12">
      <c r="A14" s="200"/>
      <c r="B14" s="208" t="s">
        <v>571</v>
      </c>
      <c r="C14" s="721"/>
      <c r="D14" s="721"/>
      <c r="E14" s="721"/>
      <c r="F14" s="721"/>
      <c r="G14" s="717"/>
      <c r="H14" s="722"/>
      <c r="I14" s="200"/>
    </row>
    <row r="15" spans="2:8" ht="12">
      <c r="B15" s="551" t="s">
        <v>799</v>
      </c>
      <c r="C15" s="229">
        <v>500000</v>
      </c>
      <c r="D15" s="229">
        <v>-500000</v>
      </c>
      <c r="E15" s="230">
        <v>0</v>
      </c>
      <c r="F15" s="247">
        <v>0</v>
      </c>
      <c r="G15" s="230">
        <v>0</v>
      </c>
      <c r="H15" s="224">
        <f>+E15-F15</f>
        <v>0</v>
      </c>
    </row>
    <row r="16" spans="2:8" ht="12">
      <c r="B16" s="551" t="s">
        <v>816</v>
      </c>
      <c r="C16" s="229"/>
      <c r="D16" s="229">
        <v>179333.33000000002</v>
      </c>
      <c r="E16" s="230">
        <v>179333.33000000002</v>
      </c>
      <c r="F16" s="247">
        <v>179333.33000000002</v>
      </c>
      <c r="G16" s="230">
        <v>179333.33000000002</v>
      </c>
      <c r="H16" s="224">
        <f aca="true" t="shared" si="0" ref="H16:H22">+E16-F16</f>
        <v>0</v>
      </c>
    </row>
    <row r="17" spans="2:8" ht="12">
      <c r="B17" s="551" t="s">
        <v>817</v>
      </c>
      <c r="C17" s="229"/>
      <c r="D17" s="229">
        <v>0</v>
      </c>
      <c r="E17" s="230">
        <v>0</v>
      </c>
      <c r="F17" s="247">
        <v>0</v>
      </c>
      <c r="G17" s="230">
        <v>0</v>
      </c>
      <c r="H17" s="224">
        <f t="shared" si="0"/>
        <v>0</v>
      </c>
    </row>
    <row r="18" spans="2:8" ht="12">
      <c r="B18" s="551" t="s">
        <v>818</v>
      </c>
      <c r="C18" s="229"/>
      <c r="D18" s="229">
        <v>27492</v>
      </c>
      <c r="E18" s="230">
        <v>27492</v>
      </c>
      <c r="F18" s="247">
        <v>0</v>
      </c>
      <c r="G18" s="230">
        <v>0</v>
      </c>
      <c r="H18" s="224">
        <f t="shared" si="0"/>
        <v>27492</v>
      </c>
    </row>
    <row r="19" spans="2:8" ht="12">
      <c r="B19" s="551" t="s">
        <v>819</v>
      </c>
      <c r="C19" s="229">
        <v>1000000</v>
      </c>
      <c r="D19" s="229">
        <v>-413329.62</v>
      </c>
      <c r="E19" s="230">
        <v>586670.38</v>
      </c>
      <c r="F19" s="247">
        <v>318562.2199999999</v>
      </c>
      <c r="G19" s="230">
        <v>318562.2199999999</v>
      </c>
      <c r="H19" s="224">
        <f t="shared" si="0"/>
        <v>268108.1600000001</v>
      </c>
    </row>
    <row r="20" spans="2:8" ht="12">
      <c r="B20" s="551" t="s">
        <v>820</v>
      </c>
      <c r="C20" s="249"/>
      <c r="D20" s="249">
        <v>730000.0000000001</v>
      </c>
      <c r="E20" s="251">
        <v>730000.0000000001</v>
      </c>
      <c r="F20" s="248">
        <v>0</v>
      </c>
      <c r="G20" s="251">
        <v>0</v>
      </c>
      <c r="H20" s="224">
        <f t="shared" si="0"/>
        <v>730000.0000000001</v>
      </c>
    </row>
    <row r="21" spans="2:8" ht="12">
      <c r="B21" s="551" t="s">
        <v>821</v>
      </c>
      <c r="C21" s="229"/>
      <c r="D21" s="229">
        <v>361190.59</v>
      </c>
      <c r="E21" s="230">
        <v>361190.59</v>
      </c>
      <c r="F21" s="247">
        <v>361190.58</v>
      </c>
      <c r="G21" s="230">
        <v>361190.58</v>
      </c>
      <c r="H21" s="224">
        <f t="shared" si="0"/>
        <v>0.010000000009313226</v>
      </c>
    </row>
    <row r="22" spans="2:8" ht="12">
      <c r="B22" s="551" t="s">
        <v>822</v>
      </c>
      <c r="C22" s="229">
        <v>500000</v>
      </c>
      <c r="D22" s="229">
        <v>-164601.34000000003</v>
      </c>
      <c r="E22" s="230">
        <v>335398.66</v>
      </c>
      <c r="F22" s="247">
        <v>330243.3</v>
      </c>
      <c r="G22" s="230">
        <v>330243.3</v>
      </c>
      <c r="H22" s="224">
        <f t="shared" si="0"/>
        <v>5155.359999999986</v>
      </c>
    </row>
    <row r="23" spans="2:8" ht="12">
      <c r="B23" s="204"/>
      <c r="C23" s="220"/>
      <c r="D23" s="220"/>
      <c r="E23" s="231"/>
      <c r="F23" s="224"/>
      <c r="G23" s="231"/>
      <c r="H23" s="224"/>
    </row>
    <row r="24" spans="2:8" ht="12">
      <c r="B24" s="208" t="s">
        <v>572</v>
      </c>
      <c r="C24" s="721">
        <f>SUM(C25:C42)</f>
        <v>7000457993</v>
      </c>
      <c r="D24" s="721">
        <f>SUM(D25:D42)</f>
        <v>156747576.23999977</v>
      </c>
      <c r="E24" s="721">
        <f>SUM(E25:E42)</f>
        <v>7157205569.240003</v>
      </c>
      <c r="F24" s="721">
        <f>SUM(F25:F42)</f>
        <v>3841973434.4300013</v>
      </c>
      <c r="G24" s="717">
        <f>SUM(G25:G42)</f>
        <v>709672974.33</v>
      </c>
      <c r="H24" s="722">
        <f>+E24-F24</f>
        <v>3315232134.8100014</v>
      </c>
    </row>
    <row r="25" spans="2:8" ht="12">
      <c r="B25" s="208" t="s">
        <v>571</v>
      </c>
      <c r="C25" s="721"/>
      <c r="D25" s="721"/>
      <c r="E25" s="721"/>
      <c r="F25" s="721"/>
      <c r="G25" s="717"/>
      <c r="H25" s="722"/>
    </row>
    <row r="26" spans="2:8" ht="12">
      <c r="B26" s="551" t="s">
        <v>799</v>
      </c>
      <c r="C26" s="249">
        <v>12431001</v>
      </c>
      <c r="D26" s="249">
        <v>-1445448.53</v>
      </c>
      <c r="E26" s="251">
        <v>10985552.49</v>
      </c>
      <c r="F26" s="248">
        <v>6762755.050000001</v>
      </c>
      <c r="G26" s="251">
        <v>5580002.080000001</v>
      </c>
      <c r="H26" s="224">
        <f aca="true" t="shared" si="1" ref="H26:H42">+E26-F26</f>
        <v>4222797.4399999995</v>
      </c>
    </row>
    <row r="27" spans="2:8" ht="12">
      <c r="B27" s="551" t="s">
        <v>800</v>
      </c>
      <c r="C27" s="229">
        <v>9641957</v>
      </c>
      <c r="D27" s="229">
        <v>-326821.5700000003</v>
      </c>
      <c r="E27" s="230">
        <v>9315135.43</v>
      </c>
      <c r="F27" s="247">
        <v>5615691.23</v>
      </c>
      <c r="G27" s="230">
        <v>3332488.9899999998</v>
      </c>
      <c r="H27" s="224">
        <f t="shared" si="1"/>
        <v>3699444.1999999993</v>
      </c>
    </row>
    <row r="28" spans="2:8" ht="12">
      <c r="B28" s="551" t="s">
        <v>801</v>
      </c>
      <c r="C28" s="249">
        <v>5004426</v>
      </c>
      <c r="D28" s="249">
        <v>-439429.29</v>
      </c>
      <c r="E28" s="251">
        <v>4564996.709999998</v>
      </c>
      <c r="F28" s="248">
        <v>2951948.5400000005</v>
      </c>
      <c r="G28" s="251">
        <v>1928042.3900000004</v>
      </c>
      <c r="H28" s="224">
        <f t="shared" si="1"/>
        <v>1613048.1699999976</v>
      </c>
    </row>
    <row r="29" spans="2:8" ht="12">
      <c r="B29" s="551" t="s">
        <v>802</v>
      </c>
      <c r="C29" s="229">
        <v>20828986</v>
      </c>
      <c r="D29" s="229">
        <v>316245.6</v>
      </c>
      <c r="E29" s="230">
        <v>21145231.609999955</v>
      </c>
      <c r="F29" s="247">
        <v>11534785.940000005</v>
      </c>
      <c r="G29" s="230">
        <v>6701046.370000005</v>
      </c>
      <c r="H29" s="224">
        <f t="shared" si="1"/>
        <v>9610445.66999995</v>
      </c>
    </row>
    <row r="30" spans="2:8" ht="12">
      <c r="B30" s="551" t="s">
        <v>803</v>
      </c>
      <c r="C30" s="229">
        <v>19937833</v>
      </c>
      <c r="D30" s="229">
        <v>4317511.309999999</v>
      </c>
      <c r="E30" s="230">
        <v>24255344.31</v>
      </c>
      <c r="F30" s="247">
        <v>22438497.720000006</v>
      </c>
      <c r="G30" s="230">
        <v>20442966.21000001</v>
      </c>
      <c r="H30" s="224">
        <f t="shared" si="1"/>
        <v>1816846.5899999924</v>
      </c>
    </row>
    <row r="31" spans="2:8" ht="12">
      <c r="B31" s="551" t="s">
        <v>804</v>
      </c>
      <c r="C31" s="229">
        <v>6227862</v>
      </c>
      <c r="D31" s="229">
        <v>117411268.24</v>
      </c>
      <c r="E31" s="230">
        <v>123639130.24</v>
      </c>
      <c r="F31" s="247">
        <v>121510920.56000005</v>
      </c>
      <c r="G31" s="230">
        <v>120306986.73000005</v>
      </c>
      <c r="H31" s="224">
        <f t="shared" si="1"/>
        <v>2128209.6799999475</v>
      </c>
    </row>
    <row r="32" spans="2:8" ht="12">
      <c r="B32" s="551" t="s">
        <v>805</v>
      </c>
      <c r="C32" s="229">
        <v>796050214</v>
      </c>
      <c r="D32" s="229">
        <v>-101155038.54</v>
      </c>
      <c r="E32" s="230">
        <v>694895175.45</v>
      </c>
      <c r="F32" s="247">
        <v>419924236.10000044</v>
      </c>
      <c r="G32" s="230">
        <v>20197375.79999999</v>
      </c>
      <c r="H32" s="224">
        <f t="shared" si="1"/>
        <v>274970939.3499996</v>
      </c>
    </row>
    <row r="33" spans="2:8" ht="12">
      <c r="B33" s="551" t="s">
        <v>806</v>
      </c>
      <c r="C33" s="249">
        <v>1974789315</v>
      </c>
      <c r="D33" s="249">
        <v>-263531063.7099998</v>
      </c>
      <c r="E33" s="251">
        <v>1711258251.2900002</v>
      </c>
      <c r="F33" s="248">
        <v>1057039599.5300006</v>
      </c>
      <c r="G33" s="251">
        <v>86954081.85999998</v>
      </c>
      <c r="H33" s="224">
        <f t="shared" si="1"/>
        <v>654218651.7599996</v>
      </c>
    </row>
    <row r="34" spans="2:8" ht="12">
      <c r="B34" s="551" t="s">
        <v>807</v>
      </c>
      <c r="C34" s="229">
        <v>1993244944</v>
      </c>
      <c r="D34" s="229">
        <v>-253923349.95</v>
      </c>
      <c r="E34" s="230">
        <v>1739321594.0400023</v>
      </c>
      <c r="F34" s="247">
        <v>1056113548.1800001</v>
      </c>
      <c r="G34" s="230">
        <v>76823662.42</v>
      </c>
      <c r="H34" s="224">
        <f t="shared" si="1"/>
        <v>683208045.8600023</v>
      </c>
    </row>
    <row r="35" spans="2:8" ht="12">
      <c r="B35" s="551" t="s">
        <v>808</v>
      </c>
      <c r="C35" s="249">
        <v>714290917</v>
      </c>
      <c r="D35" s="249">
        <v>-75061196.85</v>
      </c>
      <c r="E35" s="251">
        <v>639229720.14</v>
      </c>
      <c r="F35" s="248">
        <v>362420611.90000004</v>
      </c>
      <c r="G35" s="251">
        <v>66989548.52999997</v>
      </c>
      <c r="H35" s="224">
        <f t="shared" si="1"/>
        <v>276809108.23999995</v>
      </c>
    </row>
    <row r="36" spans="2:8" ht="12">
      <c r="B36" s="551" t="s">
        <v>809</v>
      </c>
      <c r="C36" s="229">
        <v>17957352</v>
      </c>
      <c r="D36" s="229">
        <v>3065665.29</v>
      </c>
      <c r="E36" s="230">
        <v>21023017.29999999</v>
      </c>
      <c r="F36" s="247">
        <v>12577421.180000002</v>
      </c>
      <c r="G36" s="230">
        <v>9225820.300000003</v>
      </c>
      <c r="H36" s="224">
        <f t="shared" si="1"/>
        <v>8445596.119999988</v>
      </c>
    </row>
    <row r="37" spans="2:8" ht="12">
      <c r="B37" s="551" t="s">
        <v>810</v>
      </c>
      <c r="C37" s="229">
        <v>45559693</v>
      </c>
      <c r="D37" s="229">
        <v>1229334.1</v>
      </c>
      <c r="E37" s="230">
        <v>46789027.1</v>
      </c>
      <c r="F37" s="247">
        <v>23973122.15</v>
      </c>
      <c r="G37" s="230">
        <v>10056016.37999999</v>
      </c>
      <c r="H37" s="224">
        <f t="shared" si="1"/>
        <v>22815904.950000003</v>
      </c>
    </row>
    <row r="38" spans="2:8" ht="12">
      <c r="B38" s="551" t="s">
        <v>811</v>
      </c>
      <c r="C38" s="229">
        <v>8371820</v>
      </c>
      <c r="D38" s="229">
        <v>29662.62</v>
      </c>
      <c r="E38" s="230">
        <v>8401482.620000003</v>
      </c>
      <c r="F38" s="247">
        <v>5166842.680000002</v>
      </c>
      <c r="G38" s="230">
        <v>1981961.09</v>
      </c>
      <c r="H38" s="224">
        <f t="shared" si="1"/>
        <v>3234639.9400000013</v>
      </c>
    </row>
    <row r="39" spans="2:8" ht="12">
      <c r="B39" s="551" t="s">
        <v>812</v>
      </c>
      <c r="C39" s="229">
        <v>1213746388</v>
      </c>
      <c r="D39" s="229">
        <v>-37671332.27</v>
      </c>
      <c r="E39" s="230">
        <v>1176075055.73</v>
      </c>
      <c r="F39" s="247">
        <v>609384608.2099999</v>
      </c>
      <c r="G39" s="230">
        <v>200810178.62000006</v>
      </c>
      <c r="H39" s="224">
        <f t="shared" si="1"/>
        <v>566690447.5200001</v>
      </c>
    </row>
    <row r="40" spans="2:8" ht="12">
      <c r="B40" s="551" t="s">
        <v>813</v>
      </c>
      <c r="C40" s="249">
        <v>121676627</v>
      </c>
      <c r="D40" s="249">
        <v>763032593.7899996</v>
      </c>
      <c r="E40" s="251">
        <v>884709220.7899996</v>
      </c>
      <c r="F40" s="248">
        <v>96387616.55999999</v>
      </c>
      <c r="G40" s="251">
        <v>55725121.019999966</v>
      </c>
      <c r="H40" s="224">
        <f t="shared" si="1"/>
        <v>788321604.2299997</v>
      </c>
    </row>
    <row r="41" spans="2:8" ht="12">
      <c r="B41" s="551" t="s">
        <v>814</v>
      </c>
      <c r="C41" s="229">
        <v>10625839</v>
      </c>
      <c r="D41" s="229">
        <v>5833047.529999999</v>
      </c>
      <c r="E41" s="230">
        <v>16458886.53</v>
      </c>
      <c r="F41" s="247">
        <v>10370735.42</v>
      </c>
      <c r="G41" s="230">
        <v>9014766.59</v>
      </c>
      <c r="H41" s="224">
        <f t="shared" si="1"/>
        <v>6088151.109999999</v>
      </c>
    </row>
    <row r="42" spans="2:8" ht="12">
      <c r="B42" s="551" t="s">
        <v>815</v>
      </c>
      <c r="C42" s="229">
        <v>30072819</v>
      </c>
      <c r="D42" s="229">
        <v>-4934071.53</v>
      </c>
      <c r="E42" s="230">
        <v>25138747.46000001</v>
      </c>
      <c r="F42" s="247">
        <v>17800493.479999997</v>
      </c>
      <c r="G42" s="230">
        <v>13602908.95</v>
      </c>
      <c r="H42" s="224">
        <f t="shared" si="1"/>
        <v>7338253.980000012</v>
      </c>
    </row>
    <row r="43" spans="2:8" ht="12">
      <c r="B43" s="551"/>
      <c r="C43" s="249"/>
      <c r="D43" s="249"/>
      <c r="E43" s="251"/>
      <c r="F43" s="248"/>
      <c r="G43" s="251"/>
      <c r="H43" s="224">
        <f aca="true" t="shared" si="2" ref="H43:H49">+E43-F43</f>
        <v>0</v>
      </c>
    </row>
    <row r="44" spans="2:8" ht="12">
      <c r="B44" s="551"/>
      <c r="C44" s="229"/>
      <c r="D44" s="229"/>
      <c r="E44" s="230"/>
      <c r="F44" s="247"/>
      <c r="G44" s="230"/>
      <c r="H44" s="224">
        <f t="shared" si="2"/>
        <v>0</v>
      </c>
    </row>
    <row r="45" spans="2:8" ht="12">
      <c r="B45" s="551"/>
      <c r="C45" s="249"/>
      <c r="D45" s="249"/>
      <c r="E45" s="251"/>
      <c r="F45" s="248"/>
      <c r="G45" s="251"/>
      <c r="H45" s="224">
        <f t="shared" si="2"/>
        <v>0</v>
      </c>
    </row>
    <row r="46" spans="2:8" ht="12">
      <c r="B46" s="551"/>
      <c r="C46" s="229"/>
      <c r="D46" s="229"/>
      <c r="E46" s="230"/>
      <c r="F46" s="247"/>
      <c r="G46" s="230"/>
      <c r="H46" s="224">
        <f t="shared" si="2"/>
        <v>0</v>
      </c>
    </row>
    <row r="47" spans="2:8" ht="12">
      <c r="B47" s="551"/>
      <c r="C47" s="229"/>
      <c r="D47" s="229"/>
      <c r="E47" s="230"/>
      <c r="F47" s="247"/>
      <c r="G47" s="230"/>
      <c r="H47" s="224">
        <f t="shared" si="2"/>
        <v>0</v>
      </c>
    </row>
    <row r="48" spans="2:8" ht="12">
      <c r="B48" s="551"/>
      <c r="C48" s="229"/>
      <c r="D48" s="229"/>
      <c r="E48" s="230"/>
      <c r="F48" s="247"/>
      <c r="G48" s="230"/>
      <c r="H48" s="224">
        <f t="shared" si="2"/>
        <v>0</v>
      </c>
    </row>
    <row r="49" spans="2:8" ht="12">
      <c r="B49" s="551"/>
      <c r="C49" s="229"/>
      <c r="D49" s="229"/>
      <c r="E49" s="230"/>
      <c r="F49" s="247"/>
      <c r="G49" s="230"/>
      <c r="H49" s="224">
        <f t="shared" si="2"/>
        <v>0</v>
      </c>
    </row>
    <row r="50" spans="2:8" ht="12">
      <c r="B50" s="233"/>
      <c r="C50" s="223"/>
      <c r="D50" s="223"/>
      <c r="E50" s="221"/>
      <c r="F50" s="234"/>
      <c r="G50" s="221"/>
      <c r="H50" s="234"/>
    </row>
    <row r="51" spans="2:8" ht="12">
      <c r="B51" s="208" t="s">
        <v>568</v>
      </c>
      <c r="C51" s="225">
        <f>+C13+C24</f>
        <v>7002457993</v>
      </c>
      <c r="D51" s="225">
        <f>+D13+D24</f>
        <v>156967661.19999978</v>
      </c>
      <c r="E51" s="226">
        <f>+E13+E24</f>
        <v>7159425654.200003</v>
      </c>
      <c r="F51" s="228">
        <f>+F13+F24</f>
        <v>3843162763.860001</v>
      </c>
      <c r="G51" s="226">
        <f>+G13+G24</f>
        <v>710862303.76</v>
      </c>
      <c r="H51" s="228">
        <f>+E51-F51</f>
        <v>3316262890.3400016</v>
      </c>
    </row>
    <row r="52" spans="2:8" ht="12">
      <c r="B52" s="204"/>
      <c r="C52" s="220"/>
      <c r="D52" s="220"/>
      <c r="E52" s="231"/>
      <c r="F52" s="224"/>
      <c r="G52" s="231"/>
      <c r="H52" s="224"/>
    </row>
    <row r="53" spans="2:8" ht="12">
      <c r="B53" s="204"/>
      <c r="C53" s="220"/>
      <c r="D53" s="220"/>
      <c r="E53" s="231"/>
      <c r="F53" s="224"/>
      <c r="G53" s="231"/>
      <c r="H53" s="224"/>
    </row>
    <row r="54" spans="2:8" ht="12">
      <c r="B54" s="237"/>
      <c r="C54" s="237"/>
      <c r="D54" s="237"/>
      <c r="E54" s="252"/>
      <c r="F54" s="240"/>
      <c r="G54" s="252"/>
      <c r="H54" s="240"/>
    </row>
    <row r="55" spans="1:9" ht="12">
      <c r="A55" s="201"/>
      <c r="B55" s="201"/>
      <c r="C55" s="201"/>
      <c r="D55" s="201"/>
      <c r="E55" s="201"/>
      <c r="F55" s="201"/>
      <c r="G55" s="201"/>
      <c r="H55" s="201"/>
      <c r="I55" s="201"/>
    </row>
    <row r="56" spans="1:9" ht="12">
      <c r="A56" s="201"/>
      <c r="B56" s="693" t="s">
        <v>149</v>
      </c>
      <c r="C56" s="693"/>
      <c r="D56" s="693"/>
      <c r="E56" s="693"/>
      <c r="F56" s="693"/>
      <c r="G56" s="693"/>
      <c r="H56" s="693"/>
      <c r="I56" s="201"/>
    </row>
    <row r="57" spans="1:9" ht="12">
      <c r="A57" s="201"/>
      <c r="B57" s="201"/>
      <c r="C57" s="201"/>
      <c r="D57" s="201"/>
      <c r="E57" s="201"/>
      <c r="F57" s="201"/>
      <c r="G57" s="201"/>
      <c r="H57" s="201"/>
      <c r="I57" s="201"/>
    </row>
    <row r="58" spans="1:9" ht="12">
      <c r="A58" s="201"/>
      <c r="B58" s="201"/>
      <c r="C58" s="201"/>
      <c r="D58" s="201"/>
      <c r="E58" s="201"/>
      <c r="F58" s="201"/>
      <c r="G58" s="201"/>
      <c r="H58" s="201"/>
      <c r="I58" s="201"/>
    </row>
    <row r="59" spans="1:9" ht="12">
      <c r="A59" s="201"/>
      <c r="B59" s="203"/>
      <c r="C59" s="203"/>
      <c r="D59" s="203"/>
      <c r="E59" s="203"/>
      <c r="F59" s="203"/>
      <c r="G59" s="203"/>
      <c r="H59" s="203"/>
      <c r="I59" s="201"/>
    </row>
    <row r="60" spans="1:9" ht="12">
      <c r="A60" s="201"/>
      <c r="B60" s="203"/>
      <c r="C60" s="203"/>
      <c r="D60" s="203"/>
      <c r="E60" s="203"/>
      <c r="F60" s="203"/>
      <c r="G60" s="203"/>
      <c r="H60" s="203"/>
      <c r="I60" s="201"/>
    </row>
    <row r="61" spans="1:9" ht="12">
      <c r="A61" s="201"/>
      <c r="B61" s="203"/>
      <c r="C61" s="203"/>
      <c r="D61" s="203"/>
      <c r="E61" s="203"/>
      <c r="F61" s="203"/>
      <c r="G61" s="203"/>
      <c r="H61" s="203"/>
      <c r="I61" s="201"/>
    </row>
    <row r="62" spans="1:9" ht="12">
      <c r="A62" s="201"/>
      <c r="B62" s="306"/>
      <c r="C62" s="306"/>
      <c r="D62" s="203"/>
      <c r="E62" s="306"/>
      <c r="F62" s="306"/>
      <c r="G62" s="306"/>
      <c r="H62" s="306"/>
      <c r="I62" s="201"/>
    </row>
    <row r="63" spans="1:9" ht="12">
      <c r="A63" s="201"/>
      <c r="B63" s="701" t="str">
        <f>+ENTE!D10</f>
        <v>ING. ENRIQUE DE ECHAVARRI LARY</v>
      </c>
      <c r="C63" s="701"/>
      <c r="D63" s="203"/>
      <c r="E63" s="701" t="str">
        <f>+ENTE!D14</f>
        <v>LIC. RICARDO SALVADOR BACA MUÑOZ</v>
      </c>
      <c r="F63" s="701"/>
      <c r="G63" s="701"/>
      <c r="H63" s="701"/>
      <c r="I63" s="201"/>
    </row>
    <row r="64" spans="1:9" ht="12">
      <c r="A64" s="201"/>
      <c r="B64" s="696" t="str">
        <f>+ENTE!D12</f>
        <v>COORDINADOR GENERAL </v>
      </c>
      <c r="C64" s="696"/>
      <c r="D64" s="203"/>
      <c r="E64" s="696" t="str">
        <f>+ENTE!D16</f>
        <v>DIRECTOR DE ADMINISTRACION</v>
      </c>
      <c r="F64" s="696"/>
      <c r="G64" s="696"/>
      <c r="H64" s="696"/>
      <c r="I64" s="201"/>
    </row>
    <row r="65" spans="1:9" ht="12">
      <c r="A65" s="201"/>
      <c r="B65" s="203"/>
      <c r="C65" s="203"/>
      <c r="D65" s="203"/>
      <c r="E65" s="203"/>
      <c r="F65" s="203"/>
      <c r="G65" s="203"/>
      <c r="H65" s="203"/>
      <c r="I65" s="201"/>
    </row>
  </sheetData>
  <sheetProtection/>
  <mergeCells count="26">
    <mergeCell ref="B56:H56"/>
    <mergeCell ref="B63:C63"/>
    <mergeCell ref="B64:C64"/>
    <mergeCell ref="E64:H64"/>
    <mergeCell ref="E63:H63"/>
    <mergeCell ref="H24:H25"/>
    <mergeCell ref="C24:C25"/>
    <mergeCell ref="D24:D25"/>
    <mergeCell ref="E24:E25"/>
    <mergeCell ref="F24:F25"/>
    <mergeCell ref="C13:C14"/>
    <mergeCell ref="D13:D14"/>
    <mergeCell ref="E13:E14"/>
    <mergeCell ref="F13:F14"/>
    <mergeCell ref="G13:G14"/>
    <mergeCell ref="H13:H14"/>
    <mergeCell ref="G24:G25"/>
    <mergeCell ref="B10:B11"/>
    <mergeCell ref="C10:G10"/>
    <mergeCell ref="H10:H11"/>
    <mergeCell ref="B2:H2"/>
    <mergeCell ref="B3:H3"/>
    <mergeCell ref="B4:H4"/>
    <mergeCell ref="B5:H5"/>
    <mergeCell ref="B6:H6"/>
    <mergeCell ref="C8:G8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72" r:id="rId2"/>
  <headerFooter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Daniel Carbajal Barraza</cp:lastModifiedBy>
  <cp:lastPrinted>2017-08-02T21:00:52Z</cp:lastPrinted>
  <dcterms:created xsi:type="dcterms:W3CDTF">2017-01-27T17:28:16Z</dcterms:created>
  <dcterms:modified xsi:type="dcterms:W3CDTF">2017-10-18T17:07:19Z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